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10" tabRatio="607" firstSheet="13" activeTab="17"/>
  </bookViews>
  <sheets>
    <sheet name="Sheet2" sheetId="1" r:id="rId1"/>
    <sheet name="夹角计算" sheetId="2" r:id="rId2"/>
    <sheet name="镇墩转弯处水头" sheetId="3" r:id="rId3"/>
    <sheet name="钢管每米自重计算" sheetId="4" r:id="rId4"/>
    <sheet name="各镇墩钢管上下游转弯处及伸缩处水头计算" sheetId="5" r:id="rId5"/>
    <sheet name="A1计算" sheetId="6" r:id="rId6"/>
    <sheet name="A3计算" sheetId="7" r:id="rId7"/>
    <sheet name="A4计算" sheetId="8" r:id="rId8"/>
    <sheet name="A6计算" sheetId="9" r:id="rId9"/>
    <sheet name="A7计算" sheetId="10" r:id="rId10"/>
    <sheet name="A8计算" sheetId="11" r:id="rId11"/>
    <sheet name="钢管自重计算" sheetId="12" r:id="rId12"/>
    <sheet name="水重计算" sheetId="13" r:id="rId13"/>
    <sheet name="上管段轴向合力" sheetId="14" r:id="rId14"/>
    <sheet name="下管段轴向合力" sheetId="15" r:id="rId15"/>
    <sheet name="上下管段法向合力" sheetId="16" r:id="rId16"/>
    <sheet name="镇墩上下游面作用的弯矩" sheetId="17" r:id="rId17"/>
    <sheet name="体积计算" sheetId="18" r:id="rId18"/>
  </sheets>
  <definedNames/>
  <calcPr fullCalcOnLoad="1"/>
</workbook>
</file>

<file path=xl/sharedStrings.xml><?xml version="1.0" encoding="utf-8"?>
<sst xmlns="http://schemas.openxmlformats.org/spreadsheetml/2006/main" count="262" uniqueCount="190">
  <si>
    <t>各镇墩转弯处水头</t>
  </si>
  <si>
    <t>编号</t>
  </si>
  <si>
    <r>
      <t>校核情况水头（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</si>
  <si>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设计情况水头（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</si>
  <si>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高程（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</si>
  <si>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管长（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</si>
  <si>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钢管每米自重计算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不考虑加劲环</t>
    </r>
    <r>
      <rPr>
        <sz val="12"/>
        <rFont val="Times New Roman"/>
        <family val="1"/>
      </rPr>
      <t>)</t>
    </r>
  </si>
  <si>
    <t>镇墩编号</t>
  </si>
  <si>
    <t>桩号</t>
  </si>
  <si>
    <t>D</t>
  </si>
  <si>
    <t>qs</t>
  </si>
  <si>
    <t>qw</t>
  </si>
  <si>
    <r>
      <t>δ</t>
    </r>
    <r>
      <rPr>
        <sz val="12"/>
        <rFont val="Times New Roman"/>
        <family val="1"/>
      </rPr>
      <t>(mm)</t>
    </r>
  </si>
  <si>
    <t>D(m)</t>
  </si>
  <si>
    <t>0~3</t>
  </si>
  <si>
    <t>3~10</t>
  </si>
  <si>
    <t>10~12</t>
  </si>
  <si>
    <t>12~13</t>
  </si>
  <si>
    <t>13~15</t>
  </si>
  <si>
    <t>15~17</t>
  </si>
  <si>
    <t>17~20</t>
  </si>
  <si>
    <t>20~23</t>
  </si>
  <si>
    <t>23~24</t>
  </si>
  <si>
    <t>24~26</t>
  </si>
  <si>
    <t>26~27</t>
  </si>
  <si>
    <t>0+0009~0+360.797</t>
  </si>
  <si>
    <t>0+360.797~0+954.516</t>
  </si>
  <si>
    <t>0+954.516~1+157.903</t>
  </si>
  <si>
    <t>1+157.903~1+258.867</t>
  </si>
  <si>
    <t>1+258.867~1+438.293</t>
  </si>
  <si>
    <r>
      <t>1+438.293</t>
    </r>
    <r>
      <rPr>
        <vertAlign val="subscript"/>
        <sz val="12"/>
        <rFont val="宋体"/>
        <family val="0"/>
      </rPr>
      <t>~</t>
    </r>
    <r>
      <rPr>
        <sz val="12"/>
        <rFont val="宋体"/>
        <family val="0"/>
      </rPr>
      <t>1</t>
    </r>
    <r>
      <rPr>
        <sz val="12"/>
        <rFont val="宋体"/>
        <family val="0"/>
      </rPr>
      <t>+587.209</t>
    </r>
  </si>
  <si>
    <t>1+587.209~1+916.914</t>
  </si>
  <si>
    <r>
      <t>1</t>
    </r>
    <r>
      <rPr>
        <sz val="12"/>
        <rFont val="宋体"/>
        <family val="0"/>
      </rPr>
      <t>+916.914</t>
    </r>
    <r>
      <rPr>
        <vertAlign val="subscript"/>
        <sz val="12"/>
        <rFont val="宋体"/>
        <family val="0"/>
      </rPr>
      <t>.~</t>
    </r>
    <r>
      <rPr>
        <sz val="12"/>
        <rFont val="宋体"/>
        <family val="0"/>
      </rPr>
      <t>2+238.</t>
    </r>
    <r>
      <rPr>
        <sz val="12"/>
        <rFont val="宋体"/>
        <family val="0"/>
      </rPr>
      <t>819</t>
    </r>
  </si>
  <si>
    <r>
      <t>2+350.619</t>
    </r>
    <r>
      <rPr>
        <vertAlign val="subscript"/>
        <sz val="12"/>
        <rFont val="宋体"/>
        <family val="0"/>
      </rPr>
      <t>~</t>
    </r>
    <r>
      <rPr>
        <sz val="12"/>
        <rFont val="宋体"/>
        <family val="0"/>
      </rPr>
      <t>2+461.101</t>
    </r>
  </si>
  <si>
    <r>
      <t>2+238.819</t>
    </r>
    <r>
      <rPr>
        <vertAlign val="subscript"/>
        <sz val="12"/>
        <rFont val="宋体"/>
        <family val="0"/>
      </rPr>
      <t>~</t>
    </r>
    <r>
      <rPr>
        <sz val="12"/>
        <rFont val="宋体"/>
        <family val="0"/>
      </rPr>
      <t>2+</t>
    </r>
    <r>
      <rPr>
        <sz val="12"/>
        <rFont val="宋体"/>
        <family val="0"/>
      </rPr>
      <t>350</t>
    </r>
    <r>
      <rPr>
        <sz val="12"/>
        <rFont val="宋体"/>
        <family val="0"/>
      </rPr>
      <t>.619</t>
    </r>
  </si>
  <si>
    <r>
      <t>2+455.359</t>
    </r>
    <r>
      <rPr>
        <vertAlign val="subscript"/>
        <sz val="12"/>
        <rFont val="宋体"/>
        <family val="0"/>
      </rPr>
      <t>~</t>
    </r>
    <r>
      <rPr>
        <sz val="12"/>
        <rFont val="宋体"/>
        <family val="0"/>
      </rPr>
      <t>2+465.369</t>
    </r>
  </si>
  <si>
    <r>
      <t>管内流速</t>
    </r>
    <r>
      <rPr>
        <sz val="12"/>
        <rFont val="Times New Roman"/>
        <family val="1"/>
      </rPr>
      <t>:V=Q/F=0.886/(3.14/4*0.6^2)=3.13m/s           ( 26</t>
    </r>
    <r>
      <rPr>
        <sz val="12"/>
        <rFont val="宋体"/>
        <family val="0"/>
      </rPr>
      <t>号之前管内流速</t>
    </r>
    <r>
      <rPr>
        <sz val="12"/>
        <rFont val="Times New Roman"/>
        <family val="1"/>
      </rPr>
      <t>)V=Q/F=0.443/(3.14/4*0.3^2)=6.27m/s</t>
    </r>
  </si>
  <si>
    <r>
      <t>各镇墩内钢管上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下游转弯处及伸缩节处水头计算</t>
    </r>
  </si>
  <si>
    <t>L1</t>
  </si>
  <si>
    <t>L2</t>
  </si>
  <si>
    <t>H</t>
  </si>
  <si>
    <r>
      <t>H</t>
    </r>
    <r>
      <rPr>
        <sz val="12"/>
        <rFont val="宋体"/>
        <family val="0"/>
      </rPr>
      <t>上</t>
    </r>
  </si>
  <si>
    <r>
      <t>H</t>
    </r>
    <r>
      <rPr>
        <vertAlign val="subscript"/>
        <sz val="12"/>
        <rFont val="宋体"/>
        <family val="0"/>
      </rPr>
      <t>伸</t>
    </r>
  </si>
  <si>
    <r>
      <t>H</t>
    </r>
    <r>
      <rPr>
        <vertAlign val="subscript"/>
        <sz val="12"/>
        <rFont val="宋体"/>
        <family val="0"/>
      </rPr>
      <t>下</t>
    </r>
  </si>
  <si>
    <r>
      <t>H</t>
    </r>
    <r>
      <rPr>
        <vertAlign val="subscript"/>
        <sz val="12"/>
        <rFont val="宋体"/>
        <family val="0"/>
      </rPr>
      <t>上</t>
    </r>
  </si>
  <si>
    <r>
      <t>a</t>
    </r>
    <r>
      <rPr>
        <vertAlign val="subscript"/>
        <sz val="12"/>
        <rFont val="Times New Roman"/>
        <family val="1"/>
      </rPr>
      <t>2</t>
    </r>
  </si>
  <si>
    <r>
      <t>a</t>
    </r>
    <r>
      <rPr>
        <vertAlign val="subscript"/>
        <sz val="12"/>
        <rFont val="Times New Roman"/>
        <family val="1"/>
      </rPr>
      <t>1</t>
    </r>
  </si>
  <si>
    <r>
      <t>各镇墩轴向力</t>
    </r>
    <r>
      <rPr>
        <sz val="12"/>
        <rFont val="Times New Roman"/>
        <family val="1"/>
      </rPr>
      <t>A1</t>
    </r>
    <r>
      <rPr>
        <sz val="12"/>
        <rFont val="宋体"/>
        <family val="0"/>
      </rPr>
      <t>计算</t>
    </r>
  </si>
  <si>
    <t>qs1</t>
  </si>
  <si>
    <t>qs2</t>
  </si>
  <si>
    <t>A1</t>
  </si>
  <si>
    <t>A1'</t>
  </si>
  <si>
    <r>
      <t>末端镇墩</t>
    </r>
    <r>
      <rPr>
        <sz val="12"/>
        <rFont val="Times New Roman"/>
        <family val="1"/>
      </rPr>
      <t>A2</t>
    </r>
    <r>
      <rPr>
        <sz val="12"/>
        <rFont val="宋体"/>
        <family val="0"/>
      </rPr>
      <t>计算</t>
    </r>
  </si>
  <si>
    <t>A2</t>
  </si>
  <si>
    <r>
      <t>各镇墩轴向力</t>
    </r>
    <r>
      <rPr>
        <sz val="12"/>
        <rFont val="Times New Roman"/>
        <family val="1"/>
      </rPr>
      <t>A3</t>
    </r>
    <r>
      <rPr>
        <sz val="12"/>
        <rFont val="宋体"/>
        <family val="0"/>
      </rPr>
      <t>计算</t>
    </r>
  </si>
  <si>
    <r>
      <t>H</t>
    </r>
    <r>
      <rPr>
        <sz val="12"/>
        <rFont val="宋体"/>
        <family val="0"/>
      </rPr>
      <t>下</t>
    </r>
  </si>
  <si>
    <t>A3</t>
  </si>
  <si>
    <t>A3'</t>
  </si>
  <si>
    <r>
      <t>各镇墩轴向力</t>
    </r>
    <r>
      <rPr>
        <sz val="12"/>
        <rFont val="Times New Roman"/>
        <family val="1"/>
      </rPr>
      <t>A4</t>
    </r>
    <r>
      <rPr>
        <sz val="12"/>
        <rFont val="宋体"/>
        <family val="0"/>
      </rPr>
      <t>计算</t>
    </r>
  </si>
  <si>
    <r>
      <t>D</t>
    </r>
    <r>
      <rPr>
        <vertAlign val="subscript"/>
        <sz val="12"/>
        <rFont val="Times New Roman"/>
        <family val="1"/>
      </rPr>
      <t>01</t>
    </r>
  </si>
  <si>
    <r>
      <t>D</t>
    </r>
    <r>
      <rPr>
        <vertAlign val="subscript"/>
        <sz val="12"/>
        <rFont val="Times New Roman"/>
        <family val="1"/>
      </rPr>
      <t>02</t>
    </r>
  </si>
  <si>
    <r>
      <t>A</t>
    </r>
    <r>
      <rPr>
        <vertAlign val="subscript"/>
        <sz val="12"/>
        <rFont val="Times New Roman"/>
        <family val="1"/>
      </rPr>
      <t>4</t>
    </r>
  </si>
  <si>
    <r>
      <t>A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'</t>
    </r>
  </si>
  <si>
    <r>
      <t>各镇墩轴向力</t>
    </r>
    <r>
      <rPr>
        <sz val="12"/>
        <rFont val="Times New Roman"/>
        <family val="1"/>
      </rPr>
      <t>A6</t>
    </r>
    <r>
      <rPr>
        <sz val="12"/>
        <rFont val="宋体"/>
        <family val="0"/>
      </rPr>
      <t>计算</t>
    </r>
  </si>
  <si>
    <r>
      <t>D</t>
    </r>
    <r>
      <rPr>
        <vertAlign val="subscript"/>
        <sz val="12"/>
        <rFont val="Times New Roman"/>
        <family val="1"/>
      </rPr>
      <t>1</t>
    </r>
  </si>
  <si>
    <r>
      <t>b</t>
    </r>
    <r>
      <rPr>
        <vertAlign val="subscript"/>
        <sz val="12"/>
        <rFont val="Times New Roman"/>
        <family val="1"/>
      </rPr>
      <t>1</t>
    </r>
  </si>
  <si>
    <r>
      <t>f</t>
    </r>
    <r>
      <rPr>
        <vertAlign val="subscript"/>
        <sz val="12"/>
        <rFont val="Times New Roman"/>
        <family val="1"/>
      </rPr>
      <t>1</t>
    </r>
  </si>
  <si>
    <r>
      <t>H</t>
    </r>
    <r>
      <rPr>
        <vertAlign val="subscript"/>
        <sz val="12"/>
        <rFont val="宋体"/>
        <family val="0"/>
      </rPr>
      <t>伸</t>
    </r>
  </si>
  <si>
    <r>
      <t>A</t>
    </r>
    <r>
      <rPr>
        <vertAlign val="subscript"/>
        <sz val="12"/>
        <rFont val="Times New Roman"/>
        <family val="1"/>
      </rPr>
      <t>6</t>
    </r>
  </si>
  <si>
    <r>
      <t>A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'</t>
    </r>
  </si>
  <si>
    <r>
      <t>各镇墩轴向力</t>
    </r>
    <r>
      <rPr>
        <sz val="12"/>
        <rFont val="Times New Roman"/>
        <family val="1"/>
      </rPr>
      <t>A7</t>
    </r>
    <r>
      <rPr>
        <sz val="12"/>
        <rFont val="宋体"/>
        <family val="0"/>
      </rPr>
      <t>计算</t>
    </r>
  </si>
  <si>
    <r>
      <t>q</t>
    </r>
    <r>
      <rPr>
        <vertAlign val="subscript"/>
        <sz val="12"/>
        <rFont val="Times New Roman"/>
        <family val="1"/>
      </rPr>
      <t>s1</t>
    </r>
  </si>
  <si>
    <r>
      <t>q</t>
    </r>
    <r>
      <rPr>
        <vertAlign val="subscript"/>
        <sz val="12"/>
        <rFont val="Times New Roman"/>
        <family val="1"/>
      </rPr>
      <t>s2</t>
    </r>
  </si>
  <si>
    <r>
      <t>q</t>
    </r>
    <r>
      <rPr>
        <vertAlign val="subscript"/>
        <sz val="12"/>
        <rFont val="Times New Roman"/>
        <family val="1"/>
      </rPr>
      <t>w</t>
    </r>
  </si>
  <si>
    <r>
      <t>L</t>
    </r>
    <r>
      <rPr>
        <vertAlign val="subscript"/>
        <sz val="12"/>
        <rFont val="Times New Roman"/>
        <family val="1"/>
      </rPr>
      <t>1</t>
    </r>
  </si>
  <si>
    <r>
      <t>L</t>
    </r>
    <r>
      <rPr>
        <vertAlign val="subscript"/>
        <sz val="12"/>
        <rFont val="Times New Roman"/>
        <family val="1"/>
      </rPr>
      <t>2</t>
    </r>
  </si>
  <si>
    <r>
      <t>f</t>
    </r>
    <r>
      <rPr>
        <vertAlign val="subscript"/>
        <sz val="12"/>
        <rFont val="Times New Roman"/>
        <family val="1"/>
      </rPr>
      <t>2</t>
    </r>
  </si>
  <si>
    <r>
      <t>A</t>
    </r>
    <r>
      <rPr>
        <vertAlign val="subscript"/>
        <sz val="12"/>
        <rFont val="Times New Roman"/>
        <family val="1"/>
      </rPr>
      <t>7</t>
    </r>
  </si>
  <si>
    <r>
      <t>A</t>
    </r>
    <r>
      <rPr>
        <vertAlign val="subscript"/>
        <sz val="12"/>
        <rFont val="Times New Roman"/>
        <family val="1"/>
      </rPr>
      <t>7</t>
    </r>
    <r>
      <rPr>
        <sz val="12"/>
        <rFont val="Times New Roman"/>
        <family val="1"/>
      </rPr>
      <t>'</t>
    </r>
  </si>
  <si>
    <r>
      <t>各镇墩轴向力</t>
    </r>
    <r>
      <rPr>
        <sz val="12"/>
        <rFont val="Times New Roman"/>
        <family val="1"/>
      </rPr>
      <t>A8</t>
    </r>
    <r>
      <rPr>
        <sz val="12"/>
        <rFont val="宋体"/>
        <family val="0"/>
      </rPr>
      <t>计算</t>
    </r>
  </si>
  <si>
    <r>
      <t>D</t>
    </r>
    <r>
      <rPr>
        <vertAlign val="subscript"/>
        <sz val="12"/>
        <rFont val="Times New Roman"/>
        <family val="1"/>
      </rPr>
      <t>0</t>
    </r>
  </si>
  <si>
    <r>
      <t>V</t>
    </r>
    <r>
      <rPr>
        <vertAlign val="subscript"/>
        <sz val="12"/>
        <rFont val="Times New Roman"/>
        <family val="1"/>
      </rPr>
      <t>0</t>
    </r>
  </si>
  <si>
    <r>
      <t>A</t>
    </r>
    <r>
      <rPr>
        <vertAlign val="subscript"/>
        <sz val="12"/>
        <rFont val="Times New Roman"/>
        <family val="1"/>
      </rPr>
      <t>8</t>
    </r>
  </si>
  <si>
    <r>
      <t>A</t>
    </r>
    <r>
      <rPr>
        <vertAlign val="subscript"/>
        <sz val="12"/>
        <rFont val="Times New Roman"/>
        <family val="1"/>
      </rPr>
      <t>8</t>
    </r>
    <r>
      <rPr>
        <sz val="12"/>
        <rFont val="Times New Roman"/>
        <family val="1"/>
      </rPr>
      <t>'</t>
    </r>
  </si>
  <si>
    <t>钢管上管段自重分力</t>
  </si>
  <si>
    <r>
      <t>a</t>
    </r>
    <r>
      <rPr>
        <vertAlign val="subscript"/>
        <sz val="12"/>
        <rFont val="Times New Roman"/>
        <family val="1"/>
      </rPr>
      <t>1</t>
    </r>
  </si>
  <si>
    <t>Qs</t>
  </si>
  <si>
    <r>
      <t>l</t>
    </r>
    <r>
      <rPr>
        <vertAlign val="subscript"/>
        <sz val="12"/>
        <rFont val="Times New Roman"/>
        <family val="1"/>
      </rPr>
      <t>1</t>
    </r>
  </si>
  <si>
    <t>钢管下管段自重分力</t>
  </si>
  <si>
    <r>
      <t>q</t>
    </r>
    <r>
      <rPr>
        <vertAlign val="subscript"/>
        <sz val="12"/>
        <rFont val="Times New Roman"/>
        <family val="1"/>
      </rPr>
      <t>s2</t>
    </r>
  </si>
  <si>
    <t>Qs'</t>
  </si>
  <si>
    <r>
      <t>l</t>
    </r>
    <r>
      <rPr>
        <vertAlign val="subscript"/>
        <sz val="12"/>
        <rFont val="Times New Roman"/>
        <family val="1"/>
      </rPr>
      <t>2</t>
    </r>
  </si>
  <si>
    <t>Qw</t>
  </si>
  <si>
    <r>
      <t>q</t>
    </r>
    <r>
      <rPr>
        <vertAlign val="subscript"/>
        <sz val="12"/>
        <rFont val="Times New Roman"/>
        <family val="1"/>
      </rPr>
      <t>w1</t>
    </r>
  </si>
  <si>
    <t>钢管上管段水重分力</t>
  </si>
  <si>
    <t>钢管下管段水重分力</t>
  </si>
  <si>
    <r>
      <t>q</t>
    </r>
    <r>
      <rPr>
        <vertAlign val="subscript"/>
        <sz val="12"/>
        <rFont val="Times New Roman"/>
        <family val="1"/>
      </rPr>
      <t>w2</t>
    </r>
  </si>
  <si>
    <t>Qw'</t>
  </si>
  <si>
    <t>上游管段轴向力合力计算</t>
  </si>
  <si>
    <r>
      <t>A</t>
    </r>
    <r>
      <rPr>
        <vertAlign val="subscript"/>
        <sz val="12"/>
        <rFont val="Times New Roman"/>
        <family val="1"/>
      </rPr>
      <t>1</t>
    </r>
  </si>
  <si>
    <r>
      <t>A</t>
    </r>
    <r>
      <rPr>
        <vertAlign val="subscript"/>
        <sz val="12"/>
        <rFont val="Times New Roman"/>
        <family val="1"/>
      </rPr>
      <t>2</t>
    </r>
  </si>
  <si>
    <r>
      <t>A</t>
    </r>
    <r>
      <rPr>
        <vertAlign val="subscript"/>
        <sz val="12"/>
        <rFont val="Times New Roman"/>
        <family val="1"/>
      </rPr>
      <t>3</t>
    </r>
  </si>
  <si>
    <r>
      <t>A</t>
    </r>
    <r>
      <rPr>
        <vertAlign val="subscript"/>
        <sz val="12"/>
        <rFont val="Times New Roman"/>
        <family val="1"/>
      </rPr>
      <t>4</t>
    </r>
  </si>
  <si>
    <r>
      <t>A</t>
    </r>
    <r>
      <rPr>
        <vertAlign val="subscript"/>
        <sz val="12"/>
        <rFont val="Times New Roman"/>
        <family val="1"/>
      </rPr>
      <t>5</t>
    </r>
  </si>
  <si>
    <r>
      <t>A</t>
    </r>
    <r>
      <rPr>
        <vertAlign val="subscript"/>
        <sz val="12"/>
        <rFont val="Times New Roman"/>
        <family val="1"/>
      </rPr>
      <t>6</t>
    </r>
  </si>
  <si>
    <r>
      <t>A</t>
    </r>
    <r>
      <rPr>
        <vertAlign val="subscript"/>
        <sz val="12"/>
        <rFont val="Times New Roman"/>
        <family val="1"/>
      </rPr>
      <t>7</t>
    </r>
  </si>
  <si>
    <r>
      <t>A</t>
    </r>
    <r>
      <rPr>
        <vertAlign val="subscript"/>
        <sz val="12"/>
        <rFont val="Times New Roman"/>
        <family val="1"/>
      </rPr>
      <t>8</t>
    </r>
  </si>
  <si>
    <r>
      <t>∑</t>
    </r>
    <r>
      <rPr>
        <sz val="12"/>
        <rFont val="Times New Roman"/>
        <family val="1"/>
      </rPr>
      <t>A</t>
    </r>
  </si>
  <si>
    <t>下游管段轴向力合力计算</t>
  </si>
  <si>
    <r>
      <t>A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'</t>
    </r>
  </si>
  <si>
    <r>
      <t>A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'</t>
    </r>
  </si>
  <si>
    <r>
      <t>A</t>
    </r>
    <r>
      <rPr>
        <vertAlign val="subscript"/>
        <sz val="12"/>
        <rFont val="Times New Roman"/>
        <family val="1"/>
      </rPr>
      <t>3</t>
    </r>
    <r>
      <rPr>
        <vertAlign val="superscript"/>
        <sz val="12"/>
        <rFont val="Times New Roman"/>
        <family val="1"/>
      </rPr>
      <t>'</t>
    </r>
  </si>
  <si>
    <r>
      <t>A</t>
    </r>
    <r>
      <rPr>
        <vertAlign val="subscript"/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>'</t>
    </r>
  </si>
  <si>
    <r>
      <t>A</t>
    </r>
    <r>
      <rPr>
        <vertAlign val="subscript"/>
        <sz val="12"/>
        <rFont val="Times New Roman"/>
        <family val="1"/>
      </rPr>
      <t>5</t>
    </r>
    <r>
      <rPr>
        <vertAlign val="superscript"/>
        <sz val="12"/>
        <rFont val="Times New Roman"/>
        <family val="1"/>
      </rPr>
      <t>'</t>
    </r>
  </si>
  <si>
    <r>
      <t>A</t>
    </r>
    <r>
      <rPr>
        <vertAlign val="subscript"/>
        <sz val="12"/>
        <rFont val="Times New Roman"/>
        <family val="1"/>
      </rPr>
      <t>6</t>
    </r>
    <r>
      <rPr>
        <vertAlign val="superscript"/>
        <sz val="12"/>
        <rFont val="Times New Roman"/>
        <family val="1"/>
      </rPr>
      <t>'</t>
    </r>
  </si>
  <si>
    <r>
      <t>A</t>
    </r>
    <r>
      <rPr>
        <vertAlign val="subscript"/>
        <sz val="12"/>
        <rFont val="Times New Roman"/>
        <family val="1"/>
      </rPr>
      <t>7</t>
    </r>
    <r>
      <rPr>
        <vertAlign val="superscript"/>
        <sz val="12"/>
        <rFont val="Times New Roman"/>
        <family val="1"/>
      </rPr>
      <t>'</t>
    </r>
  </si>
  <si>
    <r>
      <t>A</t>
    </r>
    <r>
      <rPr>
        <vertAlign val="subscript"/>
        <sz val="12"/>
        <rFont val="Times New Roman"/>
        <family val="1"/>
      </rPr>
      <t>8</t>
    </r>
    <r>
      <rPr>
        <vertAlign val="superscript"/>
        <sz val="12"/>
        <rFont val="Times New Roman"/>
        <family val="1"/>
      </rPr>
      <t>'</t>
    </r>
  </si>
  <si>
    <r>
      <t>∑</t>
    </r>
    <r>
      <rPr>
        <sz val="12"/>
        <rFont val="Times New Roman"/>
        <family val="1"/>
      </rPr>
      <t>A'</t>
    </r>
  </si>
  <si>
    <t>上管段法向合力</t>
  </si>
  <si>
    <t>Qs</t>
  </si>
  <si>
    <t>Qw</t>
  </si>
  <si>
    <t>Q</t>
  </si>
  <si>
    <t>下管段法向合力</t>
  </si>
  <si>
    <t>Q'</t>
  </si>
  <si>
    <t>镇墩上下游面作用的弯矩</t>
  </si>
  <si>
    <t>编号</t>
  </si>
  <si>
    <r>
      <t>M</t>
    </r>
    <r>
      <rPr>
        <vertAlign val="subscript"/>
        <sz val="12"/>
        <rFont val="宋体"/>
        <family val="0"/>
      </rPr>
      <t>下</t>
    </r>
  </si>
  <si>
    <r>
      <t>M</t>
    </r>
    <r>
      <rPr>
        <vertAlign val="subscript"/>
        <sz val="12"/>
        <rFont val="宋体"/>
        <family val="0"/>
      </rPr>
      <t>上</t>
    </r>
  </si>
  <si>
    <r>
      <t>q</t>
    </r>
    <r>
      <rPr>
        <vertAlign val="subscript"/>
        <sz val="12"/>
        <rFont val="宋体"/>
        <family val="0"/>
      </rPr>
      <t>上</t>
    </r>
  </si>
  <si>
    <r>
      <t>q</t>
    </r>
    <r>
      <rPr>
        <vertAlign val="subscript"/>
        <sz val="12"/>
        <rFont val="宋体"/>
        <family val="0"/>
      </rPr>
      <t>下</t>
    </r>
  </si>
  <si>
    <t>β</t>
  </si>
  <si>
    <r>
      <t>∑</t>
    </r>
    <r>
      <rPr>
        <sz val="12"/>
        <rFont val="Times New Roman"/>
        <family val="1"/>
      </rPr>
      <t>A</t>
    </r>
  </si>
  <si>
    <t>f</t>
  </si>
  <si>
    <t>K</t>
  </si>
  <si>
    <r>
      <t>∑</t>
    </r>
    <r>
      <rPr>
        <sz val="12"/>
        <rFont val="Times New Roman"/>
        <family val="1"/>
      </rPr>
      <t>X</t>
    </r>
  </si>
  <si>
    <r>
      <t>∑</t>
    </r>
    <r>
      <rPr>
        <sz val="12"/>
        <rFont val="Times New Roman"/>
        <family val="1"/>
      </rPr>
      <t>Y</t>
    </r>
  </si>
  <si>
    <r>
      <t>∑</t>
    </r>
    <r>
      <rPr>
        <sz val="12"/>
        <rFont val="Times New Roman"/>
        <family val="1"/>
      </rPr>
      <t>Z</t>
    </r>
  </si>
  <si>
    <r>
      <t>∑</t>
    </r>
    <r>
      <rPr>
        <sz val="12"/>
        <rFont val="Times New Roman"/>
        <family val="1"/>
      </rPr>
      <t>P</t>
    </r>
  </si>
  <si>
    <t>G</t>
  </si>
  <si>
    <t>V</t>
  </si>
  <si>
    <t>V'</t>
  </si>
  <si>
    <t>体积计算</t>
  </si>
  <si>
    <t>0+000</t>
  </si>
  <si>
    <t>0+72.484</t>
  </si>
  <si>
    <t>0+148.623</t>
  </si>
  <si>
    <t>0+227.082</t>
  </si>
  <si>
    <t>0+313.838</t>
  </si>
  <si>
    <t>0+384.103</t>
  </si>
  <si>
    <t>0+460.443</t>
  </si>
  <si>
    <t>0+547.034</t>
  </si>
  <si>
    <t>0+656.488</t>
  </si>
  <si>
    <t>0+765.953</t>
  </si>
  <si>
    <t>0+852.558</t>
  </si>
  <si>
    <t>0+956.557</t>
  </si>
  <si>
    <t>1+033.535</t>
  </si>
  <si>
    <t>1+110.809</t>
  </si>
  <si>
    <t>1+163.99</t>
  </si>
  <si>
    <t>1+235.37</t>
  </si>
  <si>
    <t>1'</t>
  </si>
  <si>
    <t>1+370.184</t>
  </si>
  <si>
    <t>1+403.046</t>
  </si>
  <si>
    <t>1+487.287</t>
  </si>
  <si>
    <t>1+593.986</t>
  </si>
  <si>
    <t>1+692.107</t>
  </si>
  <si>
    <t>1+791.637</t>
  </si>
  <si>
    <t>1+902.934</t>
  </si>
  <si>
    <t>1+962.576</t>
  </si>
  <si>
    <t>2+030.337</t>
  </si>
  <si>
    <t>2+128.885</t>
  </si>
  <si>
    <t>2+214.830</t>
  </si>
  <si>
    <t>2+302.684</t>
  </si>
  <si>
    <t>2+403.856</t>
  </si>
  <si>
    <t>2+466.760</t>
  </si>
  <si>
    <t>1'</t>
  </si>
  <si>
    <t>高程</t>
  </si>
  <si>
    <r>
      <t xml:space="preserve">                  </t>
    </r>
    <r>
      <rPr>
        <sz val="12"/>
        <rFont val="宋体"/>
        <family val="0"/>
      </rPr>
      <t>与水平线夹角</t>
    </r>
  </si>
  <si>
    <r>
      <t>上游α</t>
    </r>
    <r>
      <rPr>
        <vertAlign val="subscript"/>
        <sz val="12"/>
        <rFont val="Times New Roman"/>
        <family val="1"/>
      </rPr>
      <t>1</t>
    </r>
  </si>
  <si>
    <r>
      <t>下游α</t>
    </r>
    <r>
      <rPr>
        <vertAlign val="subscript"/>
        <sz val="12"/>
        <rFont val="Times New Roman"/>
        <family val="1"/>
      </rPr>
      <t>2</t>
    </r>
  </si>
  <si>
    <t>两轴线</t>
  </si>
  <si>
    <t>水平夹角</t>
  </si>
  <si>
    <t>编号</t>
  </si>
  <si>
    <t>桩号</t>
  </si>
  <si>
    <t>θ</t>
  </si>
  <si>
    <r>
      <t xml:space="preserve">                    </t>
    </r>
    <r>
      <rPr>
        <sz val="14"/>
        <rFont val="宋体"/>
        <family val="0"/>
      </rPr>
      <t>各镇墩转弯处夹角计算</t>
    </r>
  </si>
  <si>
    <t>1'</t>
  </si>
  <si>
    <t>28'</t>
  </si>
  <si>
    <t>2+466.76</t>
  </si>
  <si>
    <t>28'</t>
  </si>
  <si>
    <t>28'</t>
  </si>
  <si>
    <t>28~29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</si>
</sst>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00_ "/>
    <numFmt numFmtId="180" formatCode="0_);[Red]\(0\)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vertAlign val="subscript"/>
      <sz val="12"/>
      <name val="宋体"/>
      <family val="0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宋体"/>
      <family val="0"/>
    </font>
    <font>
      <sz val="14"/>
      <name val="宋体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 horizontal="center" vertical="top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top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/>
    </xf>
    <xf numFmtId="179" fontId="0" fillId="0" borderId="0" xfId="0" applyNumberForma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0" fillId="0" borderId="5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176" fontId="0" fillId="0" borderId="1" xfId="0" applyNumberFormat="1" applyBorder="1" applyAlignment="1">
      <alignment/>
    </xf>
    <xf numFmtId="180" fontId="0" fillId="0" borderId="5" xfId="0" applyNumberFormat="1" applyFill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179" fontId="2" fillId="0" borderId="1" xfId="0" applyNumberFormat="1" applyFon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0">
      <selection activeCell="M15" sqref="M15"/>
    </sheetView>
  </sheetViews>
  <sheetFormatPr defaultColWidth="9.00390625" defaultRowHeight="14.25"/>
  <sheetData>
    <row r="1" spans="1:11" ht="15.75">
      <c r="A1" s="52" t="s">
        <v>70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8.75">
      <c r="A2" s="5" t="s">
        <v>1</v>
      </c>
      <c r="B2" s="15" t="s">
        <v>71</v>
      </c>
      <c r="C2" s="15" t="s">
        <v>72</v>
      </c>
      <c r="D2" s="15" t="s">
        <v>73</v>
      </c>
      <c r="E2" s="15" t="s">
        <v>74</v>
      </c>
      <c r="F2" s="15" t="s">
        <v>75</v>
      </c>
      <c r="G2" s="15" t="s">
        <v>76</v>
      </c>
      <c r="H2" s="15" t="s">
        <v>46</v>
      </c>
      <c r="I2" s="15" t="s">
        <v>45</v>
      </c>
      <c r="J2" s="15" t="s">
        <v>77</v>
      </c>
      <c r="K2" s="15" t="s">
        <v>78</v>
      </c>
    </row>
    <row r="3" spans="1:11" ht="14.25">
      <c r="A3" s="5">
        <v>0</v>
      </c>
      <c r="B3" s="7">
        <f>'A1计算'!F3</f>
        <v>0.89</v>
      </c>
      <c r="C3" s="7">
        <f>'A1计算'!G3</f>
        <v>0.89</v>
      </c>
      <c r="D3" s="7">
        <v>2.77</v>
      </c>
      <c r="E3" s="7">
        <f>'A1计算'!B3</f>
        <v>0</v>
      </c>
      <c r="F3" s="7">
        <f>'A1计算'!C3</f>
        <v>36.242</v>
      </c>
      <c r="G3" s="7">
        <v>0.3</v>
      </c>
      <c r="H3" s="44">
        <f>'A1计算'!D3</f>
        <v>0</v>
      </c>
      <c r="I3" s="7">
        <f>'A1计算'!E3</f>
        <v>4.861</v>
      </c>
      <c r="J3" s="7">
        <f>(B3+D3)*E3*COS(H3*3.14/180)*G3</f>
        <v>0</v>
      </c>
      <c r="K3" s="7">
        <f>-(C3+D3)*F3*COS(I3*3.14/180)*G3</f>
        <v>-39.65073123160587</v>
      </c>
    </row>
    <row r="4" spans="1:11" ht="14.25">
      <c r="A4" s="5">
        <v>1</v>
      </c>
      <c r="B4" s="7">
        <f>'A1计算'!F4</f>
        <v>0.89</v>
      </c>
      <c r="C4" s="7">
        <f>'A1计算'!G4</f>
        <v>0.89</v>
      </c>
      <c r="D4" s="7">
        <v>2.77</v>
      </c>
      <c r="E4" s="7">
        <f>'A1计算'!B4</f>
        <v>36.242</v>
      </c>
      <c r="F4" s="7">
        <f>'A1计算'!C4</f>
        <v>38.12</v>
      </c>
      <c r="G4" s="7">
        <v>0.3</v>
      </c>
      <c r="H4" s="44">
        <f>'A1计算'!D4</f>
        <v>4.861</v>
      </c>
      <c r="I4" s="7">
        <f>'A1计算'!E4</f>
        <v>7.461</v>
      </c>
      <c r="J4" s="7">
        <f aca="true" t="shared" si="0" ref="J4:J34">(B4+D4)*E4*COS(H4*3.14/180)*G4</f>
        <v>39.65073123160587</v>
      </c>
      <c r="K4" s="7">
        <f aca="true" t="shared" si="1" ref="K4:K34">-(C4+D4)*F4*COS(I4*3.14/180)*G4</f>
        <v>-41.50174599456712</v>
      </c>
    </row>
    <row r="5" spans="1:11" ht="15.75">
      <c r="A5" s="6" t="s">
        <v>158</v>
      </c>
      <c r="B5" s="7">
        <f>'A1计算'!F5</f>
        <v>0.89</v>
      </c>
      <c r="C5" s="7">
        <f>'A1计算'!G5</f>
        <v>0.89</v>
      </c>
      <c r="D5" s="7">
        <v>2.77</v>
      </c>
      <c r="E5" s="7">
        <f>'A1计算'!B5</f>
        <v>38.12</v>
      </c>
      <c r="F5" s="7">
        <f>'A1计算'!C5</f>
        <v>2</v>
      </c>
      <c r="G5" s="7">
        <v>0.3</v>
      </c>
      <c r="H5" s="44">
        <f>'A1计算'!D5</f>
        <v>7.461</v>
      </c>
      <c r="I5" s="7">
        <f>'A1计算'!E5</f>
        <v>11.414</v>
      </c>
      <c r="J5" s="7">
        <f t="shared" si="0"/>
        <v>41.50174599456712</v>
      </c>
      <c r="K5" s="7">
        <f t="shared" si="1"/>
        <v>-2.1526132536852725</v>
      </c>
    </row>
    <row r="6" spans="1:11" ht="14.25">
      <c r="A6" s="5">
        <v>2</v>
      </c>
      <c r="B6" s="7">
        <f>'A1计算'!F6</f>
        <v>0.89</v>
      </c>
      <c r="C6" s="7">
        <f>'A1计算'!G6</f>
        <v>1.19</v>
      </c>
      <c r="D6" s="7">
        <v>2.77</v>
      </c>
      <c r="E6" s="7">
        <f>'A1计算'!B6</f>
        <v>37.2295</v>
      </c>
      <c r="F6" s="7">
        <f>'A1计算'!C6</f>
        <v>2</v>
      </c>
      <c r="G6" s="7">
        <v>0.3</v>
      </c>
      <c r="H6" s="44">
        <f>'A1计算'!D6</f>
        <v>11.414</v>
      </c>
      <c r="I6" s="7">
        <f>'A1计算'!E6</f>
        <v>12.395</v>
      </c>
      <c r="J6" s="7">
        <f t="shared" si="0"/>
        <v>40.07035756403793</v>
      </c>
      <c r="K6" s="7">
        <f t="shared" si="1"/>
        <v>-2.3206737684637746</v>
      </c>
    </row>
    <row r="7" spans="1:11" ht="14.25">
      <c r="A7" s="5">
        <v>3</v>
      </c>
      <c r="B7" s="7">
        <f>'A1计算'!F7</f>
        <v>1.19</v>
      </c>
      <c r="C7" s="7">
        <f>'A1计算'!G7</f>
        <v>1.19</v>
      </c>
      <c r="D7" s="7">
        <v>2.77</v>
      </c>
      <c r="E7" s="7">
        <f>'A1计算'!B7</f>
        <v>41.378</v>
      </c>
      <c r="F7" s="7">
        <f>'A1计算'!C7</f>
        <v>35.1325</v>
      </c>
      <c r="G7" s="7">
        <v>0.3</v>
      </c>
      <c r="H7" s="44">
        <f>'A1计算'!D7</f>
        <v>12.395</v>
      </c>
      <c r="I7" s="7">
        <f>'A1计算'!E7</f>
        <v>4.368</v>
      </c>
      <c r="J7" s="7">
        <f t="shared" si="0"/>
        <v>48.012419595747026</v>
      </c>
      <c r="K7" s="7">
        <f t="shared" si="1"/>
        <v>-41.61630420980469</v>
      </c>
    </row>
    <row r="8" spans="1:11" ht="14.25">
      <c r="A8" s="5">
        <v>4</v>
      </c>
      <c r="B8" s="7">
        <f>'A1计算'!F8</f>
        <v>1.19</v>
      </c>
      <c r="C8" s="7">
        <f>'A1计算'!G8</f>
        <v>1.19</v>
      </c>
      <c r="D8" s="7">
        <v>2.77</v>
      </c>
      <c r="E8" s="7">
        <f>'A1计算'!B8</f>
        <v>35.1325</v>
      </c>
      <c r="F8" s="7">
        <f>'A1计算'!C8</f>
        <v>38.17</v>
      </c>
      <c r="G8" s="7">
        <v>0.3</v>
      </c>
      <c r="H8" s="44">
        <f>'A1计算'!D8</f>
        <v>4.368</v>
      </c>
      <c r="I8" s="7">
        <f>'A1计算'!E8</f>
        <v>4.368</v>
      </c>
      <c r="J8" s="7">
        <f t="shared" si="0"/>
        <v>41.61630420980469</v>
      </c>
      <c r="K8" s="7">
        <f t="shared" si="1"/>
        <v>-45.21438359605052</v>
      </c>
    </row>
    <row r="9" spans="1:11" ht="14.25">
      <c r="A9" s="5">
        <v>5</v>
      </c>
      <c r="B9" s="7">
        <f>'A1计算'!F9</f>
        <v>1.19</v>
      </c>
      <c r="C9" s="7">
        <f>'A1计算'!G9</f>
        <v>1.19</v>
      </c>
      <c r="D9" s="7">
        <v>2.77</v>
      </c>
      <c r="E9" s="7">
        <f>'A1计算'!B9</f>
        <v>38.17</v>
      </c>
      <c r="F9" s="7">
        <f>'A1计算'!C9</f>
        <v>2</v>
      </c>
      <c r="G9" s="7">
        <v>0.3</v>
      </c>
      <c r="H9" s="44">
        <f>'A1计算'!D9</f>
        <v>4.368</v>
      </c>
      <c r="I9" s="7">
        <f>'A1计算'!E9</f>
        <v>11.760000000000002</v>
      </c>
      <c r="J9" s="7">
        <f t="shared" si="0"/>
        <v>45.21438359605052</v>
      </c>
      <c r="K9" s="7">
        <f t="shared" si="1"/>
        <v>-2.3261779351146155</v>
      </c>
    </row>
    <row r="10" spans="1:11" ht="14.25">
      <c r="A10" s="5">
        <v>6</v>
      </c>
      <c r="B10" s="7">
        <f>'A1计算'!F10</f>
        <v>1.19</v>
      </c>
      <c r="C10" s="7">
        <f>'A1计算'!G10</f>
        <v>1.19</v>
      </c>
      <c r="D10" s="7">
        <v>2.77</v>
      </c>
      <c r="E10" s="7">
        <f>'A1计算'!B10</f>
        <v>84.591</v>
      </c>
      <c r="F10" s="7">
        <f>'A1计算'!C10</f>
        <v>54.727</v>
      </c>
      <c r="G10" s="7">
        <v>0.3</v>
      </c>
      <c r="H10" s="44">
        <f>'A1计算'!D10</f>
        <v>11.760000000000002</v>
      </c>
      <c r="I10" s="7">
        <f>'A1计算'!E10</f>
        <v>5.9380000000000015</v>
      </c>
      <c r="J10" s="7">
        <f t="shared" si="0"/>
        <v>98.38685885464021</v>
      </c>
      <c r="K10" s="7">
        <f t="shared" si="1"/>
        <v>-64.66718272850157</v>
      </c>
    </row>
    <row r="11" spans="1:11" ht="14.25">
      <c r="A11" s="5">
        <v>7</v>
      </c>
      <c r="B11" s="7">
        <f>'A1计算'!F11</f>
        <v>1.19</v>
      </c>
      <c r="C11" s="7">
        <f>'A1计算'!G11</f>
        <v>1.19</v>
      </c>
      <c r="D11" s="7">
        <v>2.77</v>
      </c>
      <c r="E11" s="7">
        <f>'A1计算'!B11</f>
        <v>54.727</v>
      </c>
      <c r="F11" s="7">
        <f>'A1计算'!C11</f>
        <v>54.7325</v>
      </c>
      <c r="G11" s="7">
        <v>0.3</v>
      </c>
      <c r="H11" s="44">
        <f>'A1计算'!D11</f>
        <v>5.9380000000000015</v>
      </c>
      <c r="I11" s="7">
        <f>'A1计算'!E11</f>
        <v>5.9380000000000015</v>
      </c>
      <c r="J11" s="7">
        <f t="shared" si="0"/>
        <v>64.66718272850157</v>
      </c>
      <c r="K11" s="7">
        <f t="shared" si="1"/>
        <v>-64.67368170533216</v>
      </c>
    </row>
    <row r="12" spans="1:11" ht="14.25">
      <c r="A12" s="5">
        <v>8</v>
      </c>
      <c r="B12" s="7">
        <f>'A1计算'!F12</f>
        <v>1.19</v>
      </c>
      <c r="C12" s="7">
        <f>'A1计算'!G12</f>
        <v>1.19</v>
      </c>
      <c r="D12" s="7">
        <v>2.77</v>
      </c>
      <c r="E12" s="7">
        <f>'A1计算'!B12</f>
        <v>54.7325</v>
      </c>
      <c r="F12" s="7">
        <f>'A1计算'!C12</f>
        <v>43.3025</v>
      </c>
      <c r="G12" s="7">
        <v>0.3</v>
      </c>
      <c r="H12" s="44">
        <f>'A1计算'!D12</f>
        <v>5.9380000000000015</v>
      </c>
      <c r="I12" s="7">
        <f>'A1计算'!E12</f>
        <v>5.9380000000000015</v>
      </c>
      <c r="J12" s="7">
        <f t="shared" si="0"/>
        <v>64.67368170533216</v>
      </c>
      <c r="K12" s="7">
        <f t="shared" si="1"/>
        <v>-51.16762621925083</v>
      </c>
    </row>
    <row r="13" spans="1:11" ht="14.25">
      <c r="A13" s="5">
        <v>9</v>
      </c>
      <c r="B13" s="7">
        <f>'A1计算'!F13</f>
        <v>1.19</v>
      </c>
      <c r="C13" s="7">
        <f>'A1计算'!G13</f>
        <v>1.49</v>
      </c>
      <c r="D13" s="7">
        <v>2.77</v>
      </c>
      <c r="E13" s="7">
        <f>'A1计算'!B13</f>
        <v>43.3025</v>
      </c>
      <c r="F13" s="7">
        <f>'A1计算'!C13</f>
        <v>2</v>
      </c>
      <c r="G13" s="7">
        <v>0.3</v>
      </c>
      <c r="H13" s="44">
        <f>'A1计算'!D13</f>
        <v>5.9380000000000015</v>
      </c>
      <c r="I13" s="7">
        <f>'A1计算'!E13</f>
        <v>13.747000000000002</v>
      </c>
      <c r="J13" s="7">
        <f t="shared" si="0"/>
        <v>51.16762621925083</v>
      </c>
      <c r="K13" s="7">
        <f t="shared" si="1"/>
        <v>-2.4828559988157264</v>
      </c>
    </row>
    <row r="14" spans="1:11" ht="14.25">
      <c r="A14" s="5">
        <v>10</v>
      </c>
      <c r="B14" s="7">
        <f>'A1计算'!F14</f>
        <v>1.49</v>
      </c>
      <c r="C14" s="7">
        <f>'A1计算'!G14</f>
        <v>1.49</v>
      </c>
      <c r="D14" s="7">
        <v>2.77</v>
      </c>
      <c r="E14" s="7">
        <f>'A1计算'!B14</f>
        <v>101.999</v>
      </c>
      <c r="F14" s="7">
        <f>'A1计算'!C14</f>
        <v>2</v>
      </c>
      <c r="G14" s="7">
        <v>0.3</v>
      </c>
      <c r="H14" s="44">
        <f>'A1计算'!D14</f>
        <v>13.747000000000002</v>
      </c>
      <c r="I14" s="7">
        <f>'A1计算'!E14</f>
        <v>32.947</v>
      </c>
      <c r="J14" s="7">
        <f t="shared" si="0"/>
        <v>126.62441451160262</v>
      </c>
      <c r="K14" s="7">
        <f t="shared" si="1"/>
        <v>-2.1453339299715855</v>
      </c>
    </row>
    <row r="15" spans="1:11" ht="14.25">
      <c r="A15" s="5">
        <v>11</v>
      </c>
      <c r="B15" s="7">
        <f>'A1计算'!F15</f>
        <v>1.49</v>
      </c>
      <c r="C15" s="7">
        <f>'A1计算'!G15</f>
        <v>1.79</v>
      </c>
      <c r="D15" s="7">
        <v>2.77</v>
      </c>
      <c r="E15" s="7">
        <f>'A1计算'!B15</f>
        <v>74.987</v>
      </c>
      <c r="F15" s="7">
        <f>'A1计算'!C15</f>
        <v>2</v>
      </c>
      <c r="G15" s="7">
        <v>0.3</v>
      </c>
      <c r="H15" s="44">
        <f>'A1计算'!D15</f>
        <v>32.947</v>
      </c>
      <c r="I15" s="7">
        <f>'A1计算'!E15</f>
        <v>35.249</v>
      </c>
      <c r="J15" s="7">
        <f t="shared" si="0"/>
        <v>80.43607770338964</v>
      </c>
      <c r="K15" s="7">
        <f t="shared" si="1"/>
        <v>-2.234851222991869</v>
      </c>
    </row>
    <row r="16" spans="1:11" ht="14.25">
      <c r="A16" s="5">
        <v>12</v>
      </c>
      <c r="B16" s="7">
        <f>'A1计算'!F16</f>
        <v>1.79</v>
      </c>
      <c r="C16" s="7">
        <f>'A1计算'!G16</f>
        <v>2.09</v>
      </c>
      <c r="D16" s="7">
        <v>2.77</v>
      </c>
      <c r="E16" s="7">
        <f>'A1计算'!B16</f>
        <v>75.274</v>
      </c>
      <c r="F16" s="7">
        <f>'A1计算'!C16</f>
        <v>2</v>
      </c>
      <c r="G16" s="7">
        <v>0.3</v>
      </c>
      <c r="H16" s="44">
        <f>'A1计算'!D16</f>
        <v>35.249</v>
      </c>
      <c r="I16" s="7">
        <f>'A1计算'!E16</f>
        <v>36.939</v>
      </c>
      <c r="J16" s="7">
        <f t="shared" si="0"/>
        <v>84.11309547974497</v>
      </c>
      <c r="K16" s="7">
        <f t="shared" si="1"/>
        <v>-2.3312608072740333</v>
      </c>
    </row>
    <row r="17" spans="1:11" ht="14.25">
      <c r="A17" s="5">
        <v>13</v>
      </c>
      <c r="B17" s="7">
        <f>'A1计算'!F17</f>
        <v>2.09</v>
      </c>
      <c r="C17" s="7">
        <f>'A1计算'!G17</f>
        <v>2.09</v>
      </c>
      <c r="D17" s="7">
        <v>2.77</v>
      </c>
      <c r="E17" s="7">
        <f>'A1计算'!B17</f>
        <v>51.181</v>
      </c>
      <c r="F17" s="7">
        <f>'A1计算'!C17</f>
        <v>2</v>
      </c>
      <c r="G17" s="7">
        <v>0.3</v>
      </c>
      <c r="H17" s="44">
        <f>'A1计算'!D17</f>
        <v>36.939</v>
      </c>
      <c r="I17" s="7">
        <f>'A1计算'!E17</f>
        <v>35.259</v>
      </c>
      <c r="J17" s="7">
        <f t="shared" si="0"/>
        <v>59.65812968854614</v>
      </c>
      <c r="K17" s="7">
        <f t="shared" si="1"/>
        <v>-2.3815874270863127</v>
      </c>
    </row>
    <row r="18" spans="1:11" ht="14.25">
      <c r="A18" s="5">
        <v>14</v>
      </c>
      <c r="B18" s="7">
        <f>'A1计算'!F18</f>
        <v>2.4</v>
      </c>
      <c r="C18" s="7">
        <f>'A1计算'!G18</f>
        <v>2.4</v>
      </c>
      <c r="D18" s="7">
        <v>2.77</v>
      </c>
      <c r="E18" s="7">
        <f>'A1计算'!B18</f>
        <v>69.38</v>
      </c>
      <c r="F18" s="7">
        <f>'A1计算'!C18</f>
        <v>2</v>
      </c>
      <c r="G18" s="7">
        <v>0.3</v>
      </c>
      <c r="H18" s="44">
        <f>'A1计算'!D18</f>
        <v>35.259</v>
      </c>
      <c r="I18" s="7">
        <f>'A1计算'!E18</f>
        <v>27.506</v>
      </c>
      <c r="J18" s="7">
        <f t="shared" si="0"/>
        <v>87.88709357240269</v>
      </c>
      <c r="K18" s="7">
        <f t="shared" si="1"/>
        <v>-2.7517061803403244</v>
      </c>
    </row>
    <row r="19" spans="1:11" ht="14.25">
      <c r="A19" s="5">
        <v>15</v>
      </c>
      <c r="B19" s="7">
        <f>'A1计算'!F19</f>
        <v>2.4</v>
      </c>
      <c r="C19" s="7">
        <f>'A1计算'!G19</f>
        <v>2.4</v>
      </c>
      <c r="D19" s="7">
        <v>2.77</v>
      </c>
      <c r="E19" s="7">
        <f>'A1计算'!B19</f>
        <v>132.814</v>
      </c>
      <c r="F19" s="7">
        <f>'A1计算'!C19</f>
        <v>2</v>
      </c>
      <c r="G19" s="7">
        <v>0.3</v>
      </c>
      <c r="H19" s="44">
        <f>'A1计算'!D19</f>
        <v>27.506</v>
      </c>
      <c r="I19" s="7">
        <f>'A1计算'!E19</f>
        <v>12.634</v>
      </c>
      <c r="J19" s="7">
        <f t="shared" si="0"/>
        <v>182.73255231785996</v>
      </c>
      <c r="K19" s="7">
        <f t="shared" si="1"/>
        <v>-3.026967538026804</v>
      </c>
    </row>
    <row r="20" spans="1:11" ht="14.25">
      <c r="A20" s="5">
        <v>16</v>
      </c>
      <c r="B20" s="7">
        <f>'A1计算'!F20</f>
        <v>2.4</v>
      </c>
      <c r="C20" s="7">
        <f>'A1计算'!G20</f>
        <v>2.7</v>
      </c>
      <c r="D20" s="7">
        <v>2.77</v>
      </c>
      <c r="E20" s="7">
        <f>'A1计算'!B20</f>
        <v>30.862</v>
      </c>
      <c r="F20" s="7">
        <f>'A1计算'!C20</f>
        <v>2</v>
      </c>
      <c r="G20" s="7">
        <v>0.3</v>
      </c>
      <c r="H20" s="44">
        <f>'A1计算'!D20</f>
        <v>12.634</v>
      </c>
      <c r="I20" s="7">
        <f>'A1计算'!E20</f>
        <v>29.311</v>
      </c>
      <c r="J20" s="7">
        <f t="shared" si="0"/>
        <v>46.70913607929161</v>
      </c>
      <c r="K20" s="7">
        <f t="shared" si="1"/>
        <v>-2.862239535664378</v>
      </c>
    </row>
    <row r="21" spans="1:11" ht="14.25">
      <c r="A21" s="5">
        <v>17</v>
      </c>
      <c r="B21" s="7">
        <f>'A1计算'!F21</f>
        <v>2.7</v>
      </c>
      <c r="C21" s="7">
        <f>'A1计算'!G21</f>
        <v>2.7</v>
      </c>
      <c r="D21" s="7">
        <v>2.77</v>
      </c>
      <c r="E21" s="7">
        <f>'A1计算'!B21</f>
        <v>82.241</v>
      </c>
      <c r="F21" s="7">
        <f>'A1计算'!C21</f>
        <v>2</v>
      </c>
      <c r="G21" s="7">
        <v>0.3</v>
      </c>
      <c r="H21" s="44">
        <f>'A1计算'!D21</f>
        <v>29.311</v>
      </c>
      <c r="I21" s="7">
        <f>'A1计算'!E21</f>
        <v>35.189</v>
      </c>
      <c r="J21" s="7">
        <f t="shared" si="0"/>
        <v>117.69672082628705</v>
      </c>
      <c r="K21" s="7">
        <f t="shared" si="1"/>
        <v>-2.6828214629483895</v>
      </c>
    </row>
    <row r="22" spans="1:11" ht="14.25">
      <c r="A22" s="5">
        <v>18</v>
      </c>
      <c r="B22" s="7">
        <f>'A1计算'!F22</f>
        <v>2.7</v>
      </c>
      <c r="C22" s="7">
        <f>'A1计算'!G22</f>
        <v>2.7</v>
      </c>
      <c r="D22" s="7">
        <v>2.77</v>
      </c>
      <c r="E22" s="7">
        <f>'A1计算'!B22</f>
        <v>104.699</v>
      </c>
      <c r="F22" s="7">
        <f>'A1计算'!C22</f>
        <v>2</v>
      </c>
      <c r="G22" s="7">
        <v>0.3</v>
      </c>
      <c r="H22" s="44">
        <f>'A1计算'!D22</f>
        <v>35.189</v>
      </c>
      <c r="I22" s="7">
        <f>'A1计算'!E22</f>
        <v>9.463000000000001</v>
      </c>
      <c r="J22" s="7">
        <f t="shared" si="0"/>
        <v>140.44436217461669</v>
      </c>
      <c r="K22" s="7">
        <f t="shared" si="1"/>
        <v>-3.2373836436358494</v>
      </c>
    </row>
    <row r="23" spans="1:11" ht="14.25">
      <c r="A23" s="5">
        <v>19</v>
      </c>
      <c r="B23" s="7">
        <f>'A1计算'!F23</f>
        <v>2.7</v>
      </c>
      <c r="C23" s="7">
        <f>'A1计算'!G23</f>
        <v>3.01</v>
      </c>
      <c r="D23" s="7">
        <v>2.77</v>
      </c>
      <c r="E23" s="7">
        <f>'A1计算'!B23</f>
        <v>96.121</v>
      </c>
      <c r="F23" s="7">
        <f>'A1计算'!C23</f>
        <v>2</v>
      </c>
      <c r="G23" s="7">
        <v>0.3</v>
      </c>
      <c r="H23" s="44">
        <f>'A1计算'!D23</f>
        <v>9.463000000000001</v>
      </c>
      <c r="I23" s="7">
        <f>'A1计算'!E23</f>
        <v>5.473000000000001</v>
      </c>
      <c r="J23" s="7">
        <f t="shared" si="0"/>
        <v>155.59027660496074</v>
      </c>
      <c r="K23" s="7">
        <f t="shared" si="1"/>
        <v>-3.4522062826670297</v>
      </c>
    </row>
    <row r="24" spans="1:11" ht="14.25">
      <c r="A24" s="5">
        <v>20</v>
      </c>
      <c r="B24" s="7">
        <f>'A1计算'!F24</f>
        <v>3.01</v>
      </c>
      <c r="C24" s="7">
        <f>'A1计算'!G24</f>
        <v>3.01</v>
      </c>
      <c r="D24" s="7">
        <v>2.77</v>
      </c>
      <c r="E24" s="7">
        <f>'A1计算'!B24</f>
        <v>97.53</v>
      </c>
      <c r="F24" s="7">
        <f>'A1计算'!C24</f>
        <v>2</v>
      </c>
      <c r="G24" s="7">
        <v>0.3</v>
      </c>
      <c r="H24" s="44">
        <f>'A1计算'!D24</f>
        <v>5.473000000000001</v>
      </c>
      <c r="I24" s="7">
        <f>'A1计算'!E24</f>
        <v>13.322000000000001</v>
      </c>
      <c r="J24" s="7">
        <f t="shared" si="0"/>
        <v>168.3468393742577</v>
      </c>
      <c r="K24" s="7">
        <f t="shared" si="1"/>
        <v>-3.374771914699241</v>
      </c>
    </row>
    <row r="25" spans="1:11" ht="14.25">
      <c r="A25" s="5">
        <v>21</v>
      </c>
      <c r="B25" s="7">
        <f>'A1计算'!F25</f>
        <v>3.01</v>
      </c>
      <c r="C25" s="7">
        <f>'A1计算'!G25</f>
        <v>3.01</v>
      </c>
      <c r="D25" s="7">
        <v>2.77</v>
      </c>
      <c r="E25" s="7">
        <f>'A1计算'!B25</f>
        <v>109.297</v>
      </c>
      <c r="F25" s="7">
        <f>'A1计算'!C25</f>
        <v>2</v>
      </c>
      <c r="G25" s="7">
        <v>0.3</v>
      </c>
      <c r="H25" s="44">
        <f>'A1计算'!D25</f>
        <v>13.322000000000001</v>
      </c>
      <c r="I25" s="7">
        <f>'A1计算'!E25</f>
        <v>24.51</v>
      </c>
      <c r="J25" s="7">
        <f t="shared" si="0"/>
        <v>184.42622298044148</v>
      </c>
      <c r="K25" s="7">
        <f t="shared" si="1"/>
        <v>-3.1558065666199075</v>
      </c>
    </row>
    <row r="26" spans="1:11" ht="14.25">
      <c r="A26" s="5">
        <v>22</v>
      </c>
      <c r="B26" s="7">
        <f>'A1计算'!F26</f>
        <v>3.01</v>
      </c>
      <c r="C26" s="7">
        <f>'A1计算'!G26</f>
        <v>3.31</v>
      </c>
      <c r="D26" s="7">
        <v>2.77</v>
      </c>
      <c r="E26" s="7">
        <f>'A1计算'!B26</f>
        <v>57.642</v>
      </c>
      <c r="F26" s="7">
        <f>'A1计算'!C26</f>
        <v>2</v>
      </c>
      <c r="G26" s="7">
        <v>0.3</v>
      </c>
      <c r="H26" s="44">
        <f>'A1计算'!D26</f>
        <v>24.51</v>
      </c>
      <c r="I26" s="7">
        <f>'A1计算'!E26</f>
        <v>25.807000000000002</v>
      </c>
      <c r="J26" s="7">
        <f t="shared" si="0"/>
        <v>90.95350105655237</v>
      </c>
      <c r="K26" s="7">
        <f t="shared" si="1"/>
        <v>-3.2845314269088264</v>
      </c>
    </row>
    <row r="27" spans="1:11" ht="14.25">
      <c r="A27" s="5">
        <v>23</v>
      </c>
      <c r="B27" s="7">
        <f>'A1计算'!F27</f>
        <v>3.31</v>
      </c>
      <c r="C27" s="7">
        <f>'A1计算'!G27</f>
        <v>3.62</v>
      </c>
      <c r="D27" s="7">
        <v>2.77</v>
      </c>
      <c r="E27" s="7">
        <f>'A1计算'!B27</f>
        <v>65.761</v>
      </c>
      <c r="F27" s="7">
        <f>'A1计算'!C27</f>
        <v>2</v>
      </c>
      <c r="G27" s="7">
        <v>0.3</v>
      </c>
      <c r="H27" s="44">
        <f>'A1计算'!D27</f>
        <v>25.807000000000002</v>
      </c>
      <c r="I27" s="7">
        <f>'A1计算'!E27</f>
        <v>25.807000000000002</v>
      </c>
      <c r="J27" s="7">
        <f t="shared" si="0"/>
        <v>107.99703558247566</v>
      </c>
      <c r="K27" s="7">
        <f t="shared" si="1"/>
        <v>-3.451999312162402</v>
      </c>
    </row>
    <row r="28" spans="1:11" ht="14.25">
      <c r="A28" s="5">
        <v>24</v>
      </c>
      <c r="B28" s="7">
        <f>'A1计算'!F28</f>
        <v>3.62</v>
      </c>
      <c r="C28" s="7">
        <f>'A1计算'!G28</f>
        <v>3.62</v>
      </c>
      <c r="D28" s="7">
        <v>2.77</v>
      </c>
      <c r="E28" s="7">
        <f>'A1计算'!B28</f>
        <v>96.548</v>
      </c>
      <c r="F28" s="7">
        <f>'A1计算'!C28</f>
        <v>2</v>
      </c>
      <c r="G28" s="7">
        <v>0.3</v>
      </c>
      <c r="H28" s="44">
        <f>'A1计算'!D28</f>
        <v>25.807000000000002</v>
      </c>
      <c r="I28" s="7">
        <f>'A1计算'!E28</f>
        <v>26.844</v>
      </c>
      <c r="J28" s="7">
        <f t="shared" si="0"/>
        <v>166.64181479532778</v>
      </c>
      <c r="K28" s="7">
        <f t="shared" si="1"/>
        <v>-3.4212566160206155</v>
      </c>
    </row>
    <row r="29" spans="1:11" ht="14.25">
      <c r="A29" s="5">
        <v>25</v>
      </c>
      <c r="B29" s="7">
        <f>'A1计算'!F29</f>
        <v>3.62</v>
      </c>
      <c r="C29" s="7">
        <f>'A1计算'!G29</f>
        <v>3.62</v>
      </c>
      <c r="D29" s="7">
        <v>2.77</v>
      </c>
      <c r="E29" s="7">
        <f>'A1计算'!B29</f>
        <v>83.945</v>
      </c>
      <c r="F29" s="7">
        <f>'A1计算'!C29</f>
        <v>2</v>
      </c>
      <c r="G29" s="7">
        <v>0.3</v>
      </c>
      <c r="H29" s="44">
        <f>'A1计算'!D29</f>
        <v>26.844</v>
      </c>
      <c r="I29" s="7">
        <f>'A1计算'!E29</f>
        <v>22.153000000000002</v>
      </c>
      <c r="J29" s="7">
        <f t="shared" si="0"/>
        <v>143.5986933159253</v>
      </c>
      <c r="K29" s="7">
        <f t="shared" si="1"/>
        <v>-3.551258266474483</v>
      </c>
    </row>
    <row r="30" spans="1:11" ht="14.25">
      <c r="A30" s="5">
        <v>26</v>
      </c>
      <c r="B30" s="7">
        <f>'A1计算'!F30</f>
        <v>3.62</v>
      </c>
      <c r="C30" s="7">
        <f>'A1计算'!G30</f>
        <v>3.62</v>
      </c>
      <c r="D30" s="7">
        <v>2.77</v>
      </c>
      <c r="E30" s="7">
        <f>'A1计算'!B30</f>
        <v>85.854</v>
      </c>
      <c r="F30" s="7">
        <f>'A1计算'!C30</f>
        <v>2</v>
      </c>
      <c r="G30" s="7">
        <v>0.3</v>
      </c>
      <c r="H30" s="44">
        <f>'A1计算'!D30</f>
        <v>22.153000000000002</v>
      </c>
      <c r="I30" s="7">
        <f>'A1计算'!E30</f>
        <v>18.296</v>
      </c>
      <c r="J30" s="7">
        <f t="shared" si="0"/>
        <v>152.44486360495014</v>
      </c>
      <c r="K30" s="7">
        <f t="shared" si="1"/>
        <v>-3.640376111998961</v>
      </c>
    </row>
    <row r="31" spans="1:11" ht="14.25">
      <c r="A31" s="5">
        <v>27</v>
      </c>
      <c r="B31" s="7">
        <f>'A1计算'!F31</f>
        <v>3.62</v>
      </c>
      <c r="C31" s="7">
        <f>'A1计算'!G31</f>
        <v>3.62</v>
      </c>
      <c r="D31" s="7">
        <v>2.77</v>
      </c>
      <c r="E31" s="7">
        <f>'A1计算'!B31</f>
        <v>51.634</v>
      </c>
      <c r="F31" s="7">
        <f>'A1计算'!C31</f>
        <v>2</v>
      </c>
      <c r="G31" s="7">
        <v>0.3</v>
      </c>
      <c r="H31" s="44">
        <f>'A1计算'!D31</f>
        <v>18.296</v>
      </c>
      <c r="I31" s="7">
        <f>'A1计算'!E31</f>
        <v>29.942999999999998</v>
      </c>
      <c r="J31" s="7">
        <f t="shared" si="0"/>
        <v>93.98359008347718</v>
      </c>
      <c r="K31" s="7">
        <f t="shared" si="1"/>
        <v>-3.322753752544775</v>
      </c>
    </row>
    <row r="32" spans="1:11" ht="14.25">
      <c r="A32" s="5">
        <v>28</v>
      </c>
      <c r="B32" s="7">
        <f>'A1计算'!F32</f>
        <v>3.62</v>
      </c>
      <c r="C32" s="7">
        <f>'A1计算'!G32</f>
        <v>3.62</v>
      </c>
      <c r="D32" s="7">
        <v>2.77</v>
      </c>
      <c r="E32" s="7">
        <f>'A1计算'!B32</f>
        <v>60.904</v>
      </c>
      <c r="F32" s="7">
        <f>'A1计算'!C32</f>
        <v>2</v>
      </c>
      <c r="G32" s="7">
        <v>0.3</v>
      </c>
      <c r="H32" s="44">
        <f>'A1计算'!D32</f>
        <v>29.942999999999998</v>
      </c>
      <c r="I32" s="7">
        <f>'A1计算'!E32</f>
        <v>0</v>
      </c>
      <c r="J32" s="7">
        <f t="shared" si="0"/>
        <v>101.1844972724935</v>
      </c>
      <c r="K32" s="7">
        <f t="shared" si="1"/>
        <v>-3.834</v>
      </c>
    </row>
    <row r="33" spans="1:11" ht="14.25">
      <c r="A33" s="40" t="s">
        <v>187</v>
      </c>
      <c r="B33" s="7">
        <f>'A1计算'!F33</f>
        <v>3.62</v>
      </c>
      <c r="C33" s="7">
        <v>1.83</v>
      </c>
      <c r="D33" s="7">
        <v>0.69</v>
      </c>
      <c r="E33" s="7">
        <f>'A1计算'!B33</f>
        <v>60.904</v>
      </c>
      <c r="F33" s="7">
        <f>'A1计算'!C33</f>
        <v>2</v>
      </c>
      <c r="G33" s="7">
        <v>0.3</v>
      </c>
      <c r="H33" s="44">
        <f>'A1计算'!D33</f>
        <v>29.943</v>
      </c>
      <c r="I33" s="7">
        <f>'A1计算'!E33</f>
        <v>29.943</v>
      </c>
      <c r="J33" s="7">
        <f t="shared" si="0"/>
        <v>68.24807249521862</v>
      </c>
      <c r="K33" s="7">
        <f t="shared" si="1"/>
        <v>-1.3103817615669535</v>
      </c>
    </row>
    <row r="34" spans="1:11" ht="14.25">
      <c r="A34" s="41">
        <v>29</v>
      </c>
      <c r="B34" s="7">
        <f>'A1计算'!F34</f>
        <v>1.83</v>
      </c>
      <c r="C34" s="7">
        <v>1.83</v>
      </c>
      <c r="D34" s="7">
        <v>0.69</v>
      </c>
      <c r="E34" s="7">
        <f>'A1计算'!B34</f>
        <v>12</v>
      </c>
      <c r="F34" s="7">
        <f>'A1计算'!C34</f>
        <v>2</v>
      </c>
      <c r="G34" s="7">
        <v>0.3</v>
      </c>
      <c r="H34" s="44">
        <f>'A1计算'!D34</f>
        <v>29.943</v>
      </c>
      <c r="I34" s="7">
        <f>'A1计算'!E34</f>
        <v>0</v>
      </c>
      <c r="J34" s="7">
        <f t="shared" si="0"/>
        <v>7.862290569401721</v>
      </c>
      <c r="K34" s="7">
        <f t="shared" si="1"/>
        <v>-1.512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7">
      <selection activeCell="E33" sqref="E33:E34"/>
    </sheetView>
  </sheetViews>
  <sheetFormatPr defaultColWidth="9.00390625" defaultRowHeight="14.25"/>
  <sheetData>
    <row r="1" spans="1:5" ht="15.75">
      <c r="A1" s="52" t="s">
        <v>79</v>
      </c>
      <c r="B1" s="52"/>
      <c r="C1" s="52"/>
      <c r="D1" s="52"/>
      <c r="E1" s="52"/>
    </row>
    <row r="2" spans="1:5" ht="18.75">
      <c r="A2" s="5" t="s">
        <v>1</v>
      </c>
      <c r="B2" s="6" t="s">
        <v>80</v>
      </c>
      <c r="C2" s="6" t="s">
        <v>81</v>
      </c>
      <c r="D2" s="6" t="s">
        <v>82</v>
      </c>
      <c r="E2" s="6" t="s">
        <v>83</v>
      </c>
    </row>
    <row r="3" spans="1:5" ht="14.25">
      <c r="A3" s="5">
        <v>0</v>
      </c>
      <c r="B3" s="7">
        <f>'A3计算'!B3</f>
        <v>0.6</v>
      </c>
      <c r="C3" s="7">
        <v>3.13</v>
      </c>
      <c r="D3" s="7">
        <f>3.14*B3^2*C3^2*9.81/(4*9.8)</f>
        <v>2.771429046061224</v>
      </c>
      <c r="E3" s="7">
        <f>-3.14*B3^2*C3^2*9.81/(4*9.8)</f>
        <v>-2.771429046061224</v>
      </c>
    </row>
    <row r="4" spans="1:5" ht="14.25">
      <c r="A4" s="5">
        <v>1</v>
      </c>
      <c r="B4" s="7">
        <f>'A3计算'!B4</f>
        <v>0.6</v>
      </c>
      <c r="C4" s="7">
        <v>3.13</v>
      </c>
      <c r="D4" s="7">
        <f aca="true" t="shared" si="0" ref="D4:D34">3.14*B4^2*C4^2*9.81/(4*9.8)</f>
        <v>2.771429046061224</v>
      </c>
      <c r="E4" s="7">
        <f aca="true" t="shared" si="1" ref="E4:E34">-3.14*B4^2*C4^2*9.81/(4*9.8)</f>
        <v>-2.771429046061224</v>
      </c>
    </row>
    <row r="5" spans="1:5" ht="15.75">
      <c r="A5" s="6" t="s">
        <v>158</v>
      </c>
      <c r="B5" s="7">
        <f>'A3计算'!B5</f>
        <v>0.6</v>
      </c>
      <c r="C5" s="7">
        <v>3.13</v>
      </c>
      <c r="D5" s="7">
        <f t="shared" si="0"/>
        <v>2.771429046061224</v>
      </c>
      <c r="E5" s="7">
        <f t="shared" si="1"/>
        <v>-2.771429046061224</v>
      </c>
    </row>
    <row r="6" spans="1:5" ht="14.25">
      <c r="A6" s="5">
        <v>2</v>
      </c>
      <c r="B6" s="7">
        <f>'A3计算'!B6</f>
        <v>0.6</v>
      </c>
      <c r="C6" s="7">
        <v>3.13</v>
      </c>
      <c r="D6" s="7">
        <f t="shared" si="0"/>
        <v>2.771429046061224</v>
      </c>
      <c r="E6" s="7">
        <f t="shared" si="1"/>
        <v>-2.771429046061224</v>
      </c>
    </row>
    <row r="7" spans="1:5" ht="14.25">
      <c r="A7" s="5">
        <v>3</v>
      </c>
      <c r="B7" s="7">
        <f>'A3计算'!B7</f>
        <v>0.6</v>
      </c>
      <c r="C7" s="7">
        <v>3.13</v>
      </c>
      <c r="D7" s="7">
        <f t="shared" si="0"/>
        <v>2.771429046061224</v>
      </c>
      <c r="E7" s="7">
        <f t="shared" si="1"/>
        <v>-2.771429046061224</v>
      </c>
    </row>
    <row r="8" spans="1:5" ht="14.25">
      <c r="A8" s="5">
        <v>4</v>
      </c>
      <c r="B8" s="7">
        <f>'A3计算'!B8</f>
        <v>0.6</v>
      </c>
      <c r="C8" s="7">
        <v>3.13</v>
      </c>
      <c r="D8" s="7">
        <f t="shared" si="0"/>
        <v>2.771429046061224</v>
      </c>
      <c r="E8" s="7">
        <f t="shared" si="1"/>
        <v>-2.771429046061224</v>
      </c>
    </row>
    <row r="9" spans="1:5" ht="14.25">
      <c r="A9" s="5">
        <v>5</v>
      </c>
      <c r="B9" s="7">
        <f>'A3计算'!B9</f>
        <v>0.6</v>
      </c>
      <c r="C9" s="7">
        <v>3.13</v>
      </c>
      <c r="D9" s="7">
        <f t="shared" si="0"/>
        <v>2.771429046061224</v>
      </c>
      <c r="E9" s="7">
        <f t="shared" si="1"/>
        <v>-2.771429046061224</v>
      </c>
    </row>
    <row r="10" spans="1:5" ht="14.25">
      <c r="A10" s="5">
        <v>6</v>
      </c>
      <c r="B10" s="7">
        <f>'A3计算'!B10</f>
        <v>0.6</v>
      </c>
      <c r="C10" s="7">
        <v>3.13</v>
      </c>
      <c r="D10" s="7">
        <f t="shared" si="0"/>
        <v>2.771429046061224</v>
      </c>
      <c r="E10" s="7">
        <f t="shared" si="1"/>
        <v>-2.771429046061224</v>
      </c>
    </row>
    <row r="11" spans="1:5" ht="14.25">
      <c r="A11" s="5">
        <v>7</v>
      </c>
      <c r="B11" s="7">
        <f>'A3计算'!B11</f>
        <v>0.6</v>
      </c>
      <c r="C11" s="7">
        <v>3.13</v>
      </c>
      <c r="D11" s="7">
        <f t="shared" si="0"/>
        <v>2.771429046061224</v>
      </c>
      <c r="E11" s="7">
        <f t="shared" si="1"/>
        <v>-2.771429046061224</v>
      </c>
    </row>
    <row r="12" spans="1:5" ht="14.25">
      <c r="A12" s="5">
        <v>8</v>
      </c>
      <c r="B12" s="7">
        <f>'A3计算'!B12</f>
        <v>0.6</v>
      </c>
      <c r="C12" s="7">
        <v>3.13</v>
      </c>
      <c r="D12" s="7">
        <f t="shared" si="0"/>
        <v>2.771429046061224</v>
      </c>
      <c r="E12" s="7">
        <f t="shared" si="1"/>
        <v>-2.771429046061224</v>
      </c>
    </row>
    <row r="13" spans="1:5" ht="14.25">
      <c r="A13" s="5">
        <v>9</v>
      </c>
      <c r="B13" s="7">
        <f>'A3计算'!B13</f>
        <v>0.6</v>
      </c>
      <c r="C13" s="7">
        <v>3.13</v>
      </c>
      <c r="D13" s="7">
        <f t="shared" si="0"/>
        <v>2.771429046061224</v>
      </c>
      <c r="E13" s="7">
        <f t="shared" si="1"/>
        <v>-2.771429046061224</v>
      </c>
    </row>
    <row r="14" spans="1:5" ht="14.25">
      <c r="A14" s="5">
        <v>10</v>
      </c>
      <c r="B14" s="7">
        <f>'A3计算'!B14</f>
        <v>0.6</v>
      </c>
      <c r="C14" s="7">
        <v>3.13</v>
      </c>
      <c r="D14" s="7">
        <f t="shared" si="0"/>
        <v>2.771429046061224</v>
      </c>
      <c r="E14" s="7">
        <f t="shared" si="1"/>
        <v>-2.771429046061224</v>
      </c>
    </row>
    <row r="15" spans="1:5" ht="14.25">
      <c r="A15" s="5">
        <v>11</v>
      </c>
      <c r="B15" s="7">
        <f>'A3计算'!B15</f>
        <v>0.6</v>
      </c>
      <c r="C15" s="7">
        <v>3.13</v>
      </c>
      <c r="D15" s="7">
        <f t="shared" si="0"/>
        <v>2.771429046061224</v>
      </c>
      <c r="E15" s="7">
        <f t="shared" si="1"/>
        <v>-2.771429046061224</v>
      </c>
    </row>
    <row r="16" spans="1:5" ht="14.25">
      <c r="A16" s="5">
        <v>12</v>
      </c>
      <c r="B16" s="7">
        <f>'A3计算'!B16</f>
        <v>0.6</v>
      </c>
      <c r="C16" s="7">
        <v>3.13</v>
      </c>
      <c r="D16" s="7">
        <f t="shared" si="0"/>
        <v>2.771429046061224</v>
      </c>
      <c r="E16" s="7">
        <f t="shared" si="1"/>
        <v>-2.771429046061224</v>
      </c>
    </row>
    <row r="17" spans="1:5" ht="14.25">
      <c r="A17" s="5">
        <v>13</v>
      </c>
      <c r="B17" s="7">
        <f>'A3计算'!B17</f>
        <v>0.6</v>
      </c>
      <c r="C17" s="7">
        <v>3.13</v>
      </c>
      <c r="D17" s="7">
        <f t="shared" si="0"/>
        <v>2.771429046061224</v>
      </c>
      <c r="E17" s="7">
        <f t="shared" si="1"/>
        <v>-2.771429046061224</v>
      </c>
    </row>
    <row r="18" spans="1:5" ht="14.25">
      <c r="A18" s="5">
        <v>14</v>
      </c>
      <c r="B18" s="7">
        <f>'A3计算'!B18</f>
        <v>0.6</v>
      </c>
      <c r="C18" s="7">
        <v>3.13</v>
      </c>
      <c r="D18" s="7">
        <f t="shared" si="0"/>
        <v>2.771429046061224</v>
      </c>
      <c r="E18" s="7">
        <f t="shared" si="1"/>
        <v>-2.771429046061224</v>
      </c>
    </row>
    <row r="19" spans="1:5" ht="14.25">
      <c r="A19" s="5">
        <v>15</v>
      </c>
      <c r="B19" s="7">
        <f>'A3计算'!B19</f>
        <v>0.6</v>
      </c>
      <c r="C19" s="7">
        <v>3.13</v>
      </c>
      <c r="D19" s="7">
        <f t="shared" si="0"/>
        <v>2.771429046061224</v>
      </c>
      <c r="E19" s="7">
        <f t="shared" si="1"/>
        <v>-2.771429046061224</v>
      </c>
    </row>
    <row r="20" spans="1:5" ht="14.25">
      <c r="A20" s="5">
        <v>16</v>
      </c>
      <c r="B20" s="7">
        <f>'A3计算'!B20</f>
        <v>0.6</v>
      </c>
      <c r="C20" s="7">
        <v>3.13</v>
      </c>
      <c r="D20" s="7">
        <f t="shared" si="0"/>
        <v>2.771429046061224</v>
      </c>
      <c r="E20" s="7">
        <f t="shared" si="1"/>
        <v>-2.771429046061224</v>
      </c>
    </row>
    <row r="21" spans="1:5" ht="14.25">
      <c r="A21" s="5">
        <v>17</v>
      </c>
      <c r="B21" s="7">
        <f>'A3计算'!B21</f>
        <v>0.6</v>
      </c>
      <c r="C21" s="7">
        <v>3.13</v>
      </c>
      <c r="D21" s="7">
        <f t="shared" si="0"/>
        <v>2.771429046061224</v>
      </c>
      <c r="E21" s="7">
        <f t="shared" si="1"/>
        <v>-2.771429046061224</v>
      </c>
    </row>
    <row r="22" spans="1:5" ht="14.25">
      <c r="A22" s="5">
        <v>18</v>
      </c>
      <c r="B22" s="7">
        <f>'A3计算'!B22</f>
        <v>0.6</v>
      </c>
      <c r="C22" s="7">
        <v>3.13</v>
      </c>
      <c r="D22" s="7">
        <f t="shared" si="0"/>
        <v>2.771429046061224</v>
      </c>
      <c r="E22" s="7">
        <f t="shared" si="1"/>
        <v>-2.771429046061224</v>
      </c>
    </row>
    <row r="23" spans="1:5" ht="14.25">
      <c r="A23" s="5">
        <v>19</v>
      </c>
      <c r="B23" s="7">
        <f>'A3计算'!B23</f>
        <v>0.6</v>
      </c>
      <c r="C23" s="7">
        <v>3.13</v>
      </c>
      <c r="D23" s="7">
        <f t="shared" si="0"/>
        <v>2.771429046061224</v>
      </c>
      <c r="E23" s="7">
        <f t="shared" si="1"/>
        <v>-2.771429046061224</v>
      </c>
    </row>
    <row r="24" spans="1:5" ht="14.25">
      <c r="A24" s="5">
        <v>20</v>
      </c>
      <c r="B24" s="7">
        <f>'A3计算'!B24</f>
        <v>0.6</v>
      </c>
      <c r="C24" s="7">
        <v>3.13</v>
      </c>
      <c r="D24" s="7">
        <f t="shared" si="0"/>
        <v>2.771429046061224</v>
      </c>
      <c r="E24" s="7">
        <f t="shared" si="1"/>
        <v>-2.771429046061224</v>
      </c>
    </row>
    <row r="25" spans="1:5" ht="14.25">
      <c r="A25" s="5">
        <v>21</v>
      </c>
      <c r="B25" s="7">
        <f>'A3计算'!B25</f>
        <v>0.6</v>
      </c>
      <c r="C25" s="7">
        <v>3.13</v>
      </c>
      <c r="D25" s="7">
        <f t="shared" si="0"/>
        <v>2.771429046061224</v>
      </c>
      <c r="E25" s="7">
        <f t="shared" si="1"/>
        <v>-2.771429046061224</v>
      </c>
    </row>
    <row r="26" spans="1:5" ht="14.25">
      <c r="A26" s="5">
        <v>22</v>
      </c>
      <c r="B26" s="7">
        <f>'A3计算'!B26</f>
        <v>0.6</v>
      </c>
      <c r="C26" s="7">
        <v>3.13</v>
      </c>
      <c r="D26" s="7">
        <f t="shared" si="0"/>
        <v>2.771429046061224</v>
      </c>
      <c r="E26" s="7">
        <f t="shared" si="1"/>
        <v>-2.771429046061224</v>
      </c>
    </row>
    <row r="27" spans="1:5" ht="14.25">
      <c r="A27" s="5">
        <v>23</v>
      </c>
      <c r="B27" s="7">
        <f>'A3计算'!B27</f>
        <v>0.6</v>
      </c>
      <c r="C27" s="7">
        <v>3.13</v>
      </c>
      <c r="D27" s="7">
        <f t="shared" si="0"/>
        <v>2.771429046061224</v>
      </c>
      <c r="E27" s="7">
        <f t="shared" si="1"/>
        <v>-2.771429046061224</v>
      </c>
    </row>
    <row r="28" spans="1:5" ht="14.25">
      <c r="A28" s="5">
        <v>24</v>
      </c>
      <c r="B28" s="7">
        <f>'A3计算'!B28</f>
        <v>0.6</v>
      </c>
      <c r="C28" s="7">
        <v>3.13</v>
      </c>
      <c r="D28" s="7">
        <f t="shared" si="0"/>
        <v>2.771429046061224</v>
      </c>
      <c r="E28" s="7">
        <f t="shared" si="1"/>
        <v>-2.771429046061224</v>
      </c>
    </row>
    <row r="29" spans="1:5" ht="14.25">
      <c r="A29" s="5">
        <v>25</v>
      </c>
      <c r="B29" s="7">
        <f>'A3计算'!B29</f>
        <v>0.6</v>
      </c>
      <c r="C29" s="7">
        <v>3.13</v>
      </c>
      <c r="D29" s="7">
        <f t="shared" si="0"/>
        <v>2.771429046061224</v>
      </c>
      <c r="E29" s="7">
        <f t="shared" si="1"/>
        <v>-2.771429046061224</v>
      </c>
    </row>
    <row r="30" spans="1:5" ht="14.25">
      <c r="A30" s="5">
        <v>26</v>
      </c>
      <c r="B30" s="7">
        <f>'A3计算'!B30</f>
        <v>0.6</v>
      </c>
      <c r="C30" s="7">
        <v>3.13</v>
      </c>
      <c r="D30" s="7">
        <f t="shared" si="0"/>
        <v>2.771429046061224</v>
      </c>
      <c r="E30" s="7">
        <f t="shared" si="1"/>
        <v>-2.771429046061224</v>
      </c>
    </row>
    <row r="31" spans="1:5" ht="14.25">
      <c r="A31" s="5">
        <v>27</v>
      </c>
      <c r="B31" s="7">
        <f>'A3计算'!B31</f>
        <v>0.6</v>
      </c>
      <c r="C31" s="7">
        <v>3.13</v>
      </c>
      <c r="D31" s="7">
        <f t="shared" si="0"/>
        <v>2.771429046061224</v>
      </c>
      <c r="E31" s="7">
        <f t="shared" si="1"/>
        <v>-2.771429046061224</v>
      </c>
    </row>
    <row r="32" spans="1:5" ht="14.25">
      <c r="A32" s="5">
        <v>28</v>
      </c>
      <c r="B32" s="7">
        <f>'A3计算'!B32</f>
        <v>0.3</v>
      </c>
      <c r="C32" s="7">
        <v>6.27</v>
      </c>
      <c r="D32" s="7">
        <f t="shared" si="0"/>
        <v>2.7802905241683673</v>
      </c>
      <c r="E32" s="7">
        <f t="shared" si="1"/>
        <v>-2.7802905241683673</v>
      </c>
    </row>
    <row r="33" spans="1:5" ht="14.25">
      <c r="A33" t="s">
        <v>187</v>
      </c>
      <c r="B33" s="7">
        <f>'A3计算'!B33</f>
        <v>0.3</v>
      </c>
      <c r="C33" s="7">
        <v>6.27</v>
      </c>
      <c r="D33" s="7">
        <f t="shared" si="0"/>
        <v>2.7802905241683673</v>
      </c>
      <c r="E33" s="7">
        <f t="shared" si="1"/>
        <v>-2.7802905241683673</v>
      </c>
    </row>
    <row r="34" spans="1:5" ht="14.25">
      <c r="A34" s="42">
        <v>29</v>
      </c>
      <c r="B34" s="7">
        <f>'A3计算'!B34</f>
        <v>0.3</v>
      </c>
      <c r="C34" s="7">
        <v>6.27</v>
      </c>
      <c r="D34" s="7">
        <f t="shared" si="0"/>
        <v>2.7802905241683673</v>
      </c>
      <c r="E34" s="7">
        <f t="shared" si="1"/>
        <v>-2.7802905241683673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7">
      <selection activeCell="K33" sqref="K33:K34"/>
    </sheetView>
  </sheetViews>
  <sheetFormatPr defaultColWidth="9.00390625" defaultRowHeight="14.25"/>
  <sheetData>
    <row r="1" spans="1:11" ht="14.25">
      <c r="A1" s="52" t="s">
        <v>84</v>
      </c>
      <c r="B1" s="52"/>
      <c r="C1" s="52"/>
      <c r="D1" s="52"/>
      <c r="E1" s="52"/>
      <c r="G1" s="52" t="s">
        <v>88</v>
      </c>
      <c r="H1" s="52"/>
      <c r="I1" s="52"/>
      <c r="J1" s="52"/>
      <c r="K1" s="52"/>
    </row>
    <row r="2" spans="1:11" ht="18.75">
      <c r="A2" s="5" t="s">
        <v>1</v>
      </c>
      <c r="B2" s="15" t="s">
        <v>71</v>
      </c>
      <c r="C2" s="15" t="s">
        <v>87</v>
      </c>
      <c r="D2" s="15" t="s">
        <v>85</v>
      </c>
      <c r="E2" s="15" t="s">
        <v>86</v>
      </c>
      <c r="F2" s="13"/>
      <c r="G2" s="7" t="s">
        <v>1</v>
      </c>
      <c r="H2" s="15" t="s">
        <v>89</v>
      </c>
      <c r="I2" s="15" t="s">
        <v>91</v>
      </c>
      <c r="J2" s="15" t="s">
        <v>45</v>
      </c>
      <c r="K2" s="15" t="s">
        <v>90</v>
      </c>
    </row>
    <row r="3" spans="1:11" ht="14.25">
      <c r="A3" s="5">
        <v>0</v>
      </c>
      <c r="B3" s="7">
        <f>'A1计算'!F3</f>
        <v>0.89</v>
      </c>
      <c r="C3" s="7">
        <v>0</v>
      </c>
      <c r="D3" s="7">
        <f>'A1计算'!D3</f>
        <v>0</v>
      </c>
      <c r="E3" s="7">
        <f>B3*C3/2*COS(3.14*D3/180)</f>
        <v>0</v>
      </c>
      <c r="F3" s="13"/>
      <c r="G3" s="31">
        <v>0</v>
      </c>
      <c r="H3" s="7">
        <f>'A1计算'!G3</f>
        <v>0.89</v>
      </c>
      <c r="I3" s="7">
        <v>10</v>
      </c>
      <c r="J3" s="7">
        <f>'A1计算'!E3</f>
        <v>4.861</v>
      </c>
      <c r="K3" s="7">
        <f>H3*I3/2*COS(3.14/180*J3)</f>
        <v>4.434010484988287</v>
      </c>
    </row>
    <row r="4" spans="1:11" ht="14.25">
      <c r="A4" s="5">
        <v>1</v>
      </c>
      <c r="B4" s="7">
        <f>'A1计算'!F4</f>
        <v>0.89</v>
      </c>
      <c r="C4" s="7">
        <v>10</v>
      </c>
      <c r="D4" s="7">
        <f>'A1计算'!D4</f>
        <v>4.861</v>
      </c>
      <c r="E4" s="7">
        <f aca="true" t="shared" si="0" ref="E4:E32">B4*C4/2*COS(3.14*D4/180)</f>
        <v>4.434010484988287</v>
      </c>
      <c r="F4" s="13"/>
      <c r="G4" s="31">
        <v>1</v>
      </c>
      <c r="H4" s="7">
        <f>'A1计算'!G4</f>
        <v>0.89</v>
      </c>
      <c r="I4" s="7">
        <v>10</v>
      </c>
      <c r="J4" s="7">
        <f>'A1计算'!E4</f>
        <v>7.461</v>
      </c>
      <c r="K4" s="7">
        <f aca="true" t="shared" si="1" ref="K4:K34">H4*I4/2*COS(3.14/180*J4)</f>
        <v>4.412362113979623</v>
      </c>
    </row>
    <row r="5" spans="1:11" ht="15.75">
      <c r="A5" s="6" t="s">
        <v>158</v>
      </c>
      <c r="B5" s="7">
        <f>'A1计算'!F5</f>
        <v>0.89</v>
      </c>
      <c r="C5" s="7">
        <v>10</v>
      </c>
      <c r="D5" s="7">
        <f>'A1计算'!D5</f>
        <v>7.461</v>
      </c>
      <c r="E5" s="7">
        <f t="shared" si="0"/>
        <v>4.412362113979623</v>
      </c>
      <c r="F5" s="13"/>
      <c r="G5" s="32" t="s">
        <v>158</v>
      </c>
      <c r="H5" s="7">
        <f>'A1计算'!G5</f>
        <v>0.89</v>
      </c>
      <c r="I5" s="7">
        <v>10</v>
      </c>
      <c r="J5" s="7">
        <f>'A1计算'!E5</f>
        <v>11.414</v>
      </c>
      <c r="K5" s="7">
        <f t="shared" si="1"/>
        <v>4.362080591484273</v>
      </c>
    </row>
    <row r="6" spans="1:11" ht="14.25">
      <c r="A6" s="5">
        <v>2</v>
      </c>
      <c r="B6" s="7">
        <f>'A1计算'!F6</f>
        <v>0.89</v>
      </c>
      <c r="C6" s="7">
        <v>10</v>
      </c>
      <c r="D6" s="7">
        <f>'A1计算'!D6</f>
        <v>11.414</v>
      </c>
      <c r="E6" s="7">
        <f t="shared" si="0"/>
        <v>4.362080591484273</v>
      </c>
      <c r="F6" s="13"/>
      <c r="G6" s="31">
        <v>2</v>
      </c>
      <c r="H6" s="7">
        <f>'A1计算'!G6</f>
        <v>1.19</v>
      </c>
      <c r="I6" s="7">
        <v>10</v>
      </c>
      <c r="J6" s="7">
        <f>'A1计算'!E6</f>
        <v>12.395</v>
      </c>
      <c r="K6" s="7">
        <f t="shared" si="1"/>
        <v>5.811451566649604</v>
      </c>
    </row>
    <row r="7" spans="1:11" ht="14.25">
      <c r="A7" s="5">
        <v>3</v>
      </c>
      <c r="B7" s="7">
        <f>'A1计算'!F7</f>
        <v>1.19</v>
      </c>
      <c r="C7" s="7">
        <v>10</v>
      </c>
      <c r="D7" s="7">
        <f>'A1计算'!D7</f>
        <v>12.395</v>
      </c>
      <c r="E7" s="7">
        <f t="shared" si="0"/>
        <v>5.811451566649604</v>
      </c>
      <c r="F7" s="13"/>
      <c r="G7" s="31">
        <v>3</v>
      </c>
      <c r="H7" s="7">
        <f>'A1计算'!G7</f>
        <v>1.19</v>
      </c>
      <c r="I7" s="7">
        <v>10</v>
      </c>
      <c r="J7" s="7">
        <f>'A1计算'!E7</f>
        <v>4.368</v>
      </c>
      <c r="K7" s="7">
        <f t="shared" si="1"/>
        <v>5.9327354056789305</v>
      </c>
    </row>
    <row r="8" spans="1:11" ht="14.25">
      <c r="A8" s="5">
        <v>4</v>
      </c>
      <c r="B8" s="7">
        <f>'A1计算'!F8</f>
        <v>1.19</v>
      </c>
      <c r="C8" s="7">
        <v>10</v>
      </c>
      <c r="D8" s="7">
        <f>'A1计算'!D8</f>
        <v>4.368</v>
      </c>
      <c r="E8" s="7">
        <f t="shared" si="0"/>
        <v>5.9327354056789305</v>
      </c>
      <c r="F8" s="13"/>
      <c r="G8" s="31">
        <v>4</v>
      </c>
      <c r="H8" s="7">
        <f>'A1计算'!G8</f>
        <v>1.19</v>
      </c>
      <c r="I8" s="7">
        <v>10</v>
      </c>
      <c r="J8" s="7">
        <f>'A1计算'!E8</f>
        <v>4.368</v>
      </c>
      <c r="K8" s="7">
        <f t="shared" si="1"/>
        <v>5.9327354056789305</v>
      </c>
    </row>
    <row r="9" spans="1:11" ht="14.25">
      <c r="A9" s="5">
        <v>5</v>
      </c>
      <c r="B9" s="7">
        <f>'A1计算'!F9</f>
        <v>1.19</v>
      </c>
      <c r="C9" s="7">
        <v>10</v>
      </c>
      <c r="D9" s="7">
        <f>'A1计算'!D9</f>
        <v>4.368</v>
      </c>
      <c r="E9" s="7">
        <f t="shared" si="0"/>
        <v>5.9327354056789305</v>
      </c>
      <c r="F9" s="13"/>
      <c r="G9" s="31">
        <v>5</v>
      </c>
      <c r="H9" s="7">
        <f>'A1计算'!G9</f>
        <v>1.19</v>
      </c>
      <c r="I9" s="7">
        <v>10</v>
      </c>
      <c r="J9" s="7">
        <f>'A1计算'!E9</f>
        <v>11.760000000000002</v>
      </c>
      <c r="K9" s="7">
        <f t="shared" si="1"/>
        <v>5.825235148961263</v>
      </c>
    </row>
    <row r="10" spans="1:11" ht="14.25">
      <c r="A10" s="5">
        <v>6</v>
      </c>
      <c r="B10" s="7">
        <f>'A1计算'!F10</f>
        <v>1.19</v>
      </c>
      <c r="C10" s="7">
        <v>10</v>
      </c>
      <c r="D10" s="7">
        <f>'A1计算'!D10</f>
        <v>11.760000000000002</v>
      </c>
      <c r="E10" s="7">
        <f t="shared" si="0"/>
        <v>5.825235148961263</v>
      </c>
      <c r="F10" s="13"/>
      <c r="G10" s="31">
        <v>6</v>
      </c>
      <c r="H10" s="7">
        <f>'A1计算'!G10</f>
        <v>1.19</v>
      </c>
      <c r="I10" s="7">
        <v>10</v>
      </c>
      <c r="J10" s="7">
        <f>'A1计算'!E10</f>
        <v>5.9380000000000015</v>
      </c>
      <c r="K10" s="7">
        <f t="shared" si="1"/>
        <v>5.918107153643751</v>
      </c>
    </row>
    <row r="11" spans="1:11" ht="14.25">
      <c r="A11" s="5">
        <v>7</v>
      </c>
      <c r="B11" s="7">
        <f>'A1计算'!F11</f>
        <v>1.19</v>
      </c>
      <c r="C11" s="7">
        <v>10</v>
      </c>
      <c r="D11" s="7">
        <f>'A1计算'!D11</f>
        <v>5.9380000000000015</v>
      </c>
      <c r="E11" s="7">
        <f t="shared" si="0"/>
        <v>5.918107153643751</v>
      </c>
      <c r="F11" s="13"/>
      <c r="G11" s="31">
        <v>7</v>
      </c>
      <c r="H11" s="7">
        <f>'A1计算'!G11</f>
        <v>1.19</v>
      </c>
      <c r="I11" s="7">
        <v>10</v>
      </c>
      <c r="J11" s="7">
        <f>'A1计算'!E11</f>
        <v>5.9380000000000015</v>
      </c>
      <c r="K11" s="7">
        <f t="shared" si="1"/>
        <v>5.918107153643751</v>
      </c>
    </row>
    <row r="12" spans="1:11" ht="14.25">
      <c r="A12" s="5">
        <v>8</v>
      </c>
      <c r="B12" s="7">
        <f>'A1计算'!F12</f>
        <v>1.19</v>
      </c>
      <c r="C12" s="7">
        <v>10</v>
      </c>
      <c r="D12" s="7">
        <f>'A1计算'!D12</f>
        <v>5.9380000000000015</v>
      </c>
      <c r="E12" s="7">
        <f t="shared" si="0"/>
        <v>5.918107153643751</v>
      </c>
      <c r="F12" s="13"/>
      <c r="G12" s="31">
        <v>8</v>
      </c>
      <c r="H12" s="7">
        <f>'A1计算'!G12</f>
        <v>1.19</v>
      </c>
      <c r="I12" s="7">
        <v>10</v>
      </c>
      <c r="J12" s="7">
        <f>'A1计算'!E12</f>
        <v>5.9380000000000015</v>
      </c>
      <c r="K12" s="7">
        <f t="shared" si="1"/>
        <v>5.918107153643751</v>
      </c>
    </row>
    <row r="13" spans="1:11" ht="14.25">
      <c r="A13" s="5">
        <v>9</v>
      </c>
      <c r="B13" s="7">
        <f>'A1计算'!F13</f>
        <v>1.19</v>
      </c>
      <c r="C13" s="7">
        <v>10</v>
      </c>
      <c r="D13" s="7">
        <f>'A1计算'!D13</f>
        <v>5.9380000000000015</v>
      </c>
      <c r="E13" s="7">
        <f t="shared" si="0"/>
        <v>5.918107153643751</v>
      </c>
      <c r="F13" s="13"/>
      <c r="G13" s="31">
        <v>9</v>
      </c>
      <c r="H13" s="7">
        <f>'A1计算'!G13</f>
        <v>1.49</v>
      </c>
      <c r="I13" s="7">
        <v>10</v>
      </c>
      <c r="J13" s="7">
        <f>'A1计算'!E13</f>
        <v>13.747000000000002</v>
      </c>
      <c r="K13" s="7">
        <f t="shared" si="1"/>
        <v>7.236806412823616</v>
      </c>
    </row>
    <row r="14" spans="1:11" ht="14.25">
      <c r="A14" s="5">
        <v>10</v>
      </c>
      <c r="B14" s="7">
        <f>'A1计算'!F14</f>
        <v>1.49</v>
      </c>
      <c r="C14" s="7">
        <v>10</v>
      </c>
      <c r="D14" s="7">
        <f>'A1计算'!D14</f>
        <v>13.747000000000002</v>
      </c>
      <c r="E14" s="7">
        <f t="shared" si="0"/>
        <v>7.236806412823616</v>
      </c>
      <c r="F14" s="13"/>
      <c r="G14" s="31">
        <v>10</v>
      </c>
      <c r="H14" s="7">
        <f>'A1计算'!G14</f>
        <v>1.49</v>
      </c>
      <c r="I14" s="7">
        <v>10</v>
      </c>
      <c r="J14" s="7">
        <f>'A1计算'!E14</f>
        <v>32.947</v>
      </c>
      <c r="K14" s="7">
        <f t="shared" si="1"/>
        <v>6.253027299799809</v>
      </c>
    </row>
    <row r="15" spans="1:11" ht="14.25">
      <c r="A15" s="5">
        <v>11</v>
      </c>
      <c r="B15" s="7">
        <f>'A1计算'!F15</f>
        <v>1.49</v>
      </c>
      <c r="C15" s="7">
        <v>10</v>
      </c>
      <c r="D15" s="7">
        <f>'A1计算'!D15</f>
        <v>32.947</v>
      </c>
      <c r="E15" s="7">
        <f t="shared" si="0"/>
        <v>6.253027299799809</v>
      </c>
      <c r="F15" s="13"/>
      <c r="G15" s="31">
        <v>11</v>
      </c>
      <c r="H15" s="7">
        <f>'A1计算'!G15</f>
        <v>1.79</v>
      </c>
      <c r="I15" s="7">
        <v>10</v>
      </c>
      <c r="J15" s="7">
        <f>'A1计算'!E15</f>
        <v>35.249</v>
      </c>
      <c r="K15" s="7">
        <f t="shared" si="1"/>
        <v>7.3106427067899205</v>
      </c>
    </row>
    <row r="16" spans="1:11" ht="14.25">
      <c r="A16" s="5">
        <v>12</v>
      </c>
      <c r="B16" s="7">
        <f>'A1计算'!F16</f>
        <v>1.79</v>
      </c>
      <c r="C16" s="7">
        <v>10</v>
      </c>
      <c r="D16" s="7">
        <f>'A1计算'!D16</f>
        <v>35.249</v>
      </c>
      <c r="E16" s="7">
        <f t="shared" si="0"/>
        <v>7.3106427067899205</v>
      </c>
      <c r="F16" s="13"/>
      <c r="G16" s="31">
        <v>12</v>
      </c>
      <c r="H16" s="7">
        <f>'A1计算'!G16</f>
        <v>2.09</v>
      </c>
      <c r="I16" s="7">
        <v>10</v>
      </c>
      <c r="J16" s="7">
        <f>'A1计算'!E16</f>
        <v>36.939</v>
      </c>
      <c r="K16" s="7">
        <f t="shared" si="1"/>
        <v>8.354484031554748</v>
      </c>
    </row>
    <row r="17" spans="1:11" ht="14.25">
      <c r="A17" s="5">
        <v>13</v>
      </c>
      <c r="B17" s="7">
        <f>'A1计算'!F17</f>
        <v>2.09</v>
      </c>
      <c r="C17" s="7">
        <v>10</v>
      </c>
      <c r="D17" s="7">
        <f>'A1计算'!D17</f>
        <v>36.939</v>
      </c>
      <c r="E17" s="7">
        <f t="shared" si="0"/>
        <v>8.35448403155475</v>
      </c>
      <c r="F17" s="13"/>
      <c r="G17" s="31">
        <v>13</v>
      </c>
      <c r="H17" s="7">
        <f>'A1计算'!G17</f>
        <v>2.09</v>
      </c>
      <c r="I17" s="7">
        <v>10</v>
      </c>
      <c r="J17" s="7">
        <f>'A1计算'!E17</f>
        <v>35.259</v>
      </c>
      <c r="K17" s="7">
        <f t="shared" si="1"/>
        <v>8.534838344668028</v>
      </c>
    </row>
    <row r="18" spans="1:11" ht="14.25">
      <c r="A18" s="5">
        <v>14</v>
      </c>
      <c r="B18" s="7">
        <f>'A1计算'!F18</f>
        <v>2.4</v>
      </c>
      <c r="C18" s="7">
        <v>10</v>
      </c>
      <c r="D18" s="7">
        <f>'A1计算'!D18</f>
        <v>35.259</v>
      </c>
      <c r="E18" s="7">
        <f t="shared" si="0"/>
        <v>9.800771304881948</v>
      </c>
      <c r="F18" s="13"/>
      <c r="G18" s="31">
        <v>14</v>
      </c>
      <c r="H18" s="7">
        <f>'A1计算'!G18</f>
        <v>2.4</v>
      </c>
      <c r="I18" s="7">
        <v>10</v>
      </c>
      <c r="J18" s="7">
        <f>'A1计算'!E18</f>
        <v>27.506</v>
      </c>
      <c r="K18" s="7">
        <f t="shared" si="1"/>
        <v>10.644898183134718</v>
      </c>
    </row>
    <row r="19" spans="1:11" ht="14.25">
      <c r="A19" s="5">
        <v>15</v>
      </c>
      <c r="B19" s="7">
        <f>'A1计算'!F19</f>
        <v>2.4</v>
      </c>
      <c r="C19" s="7">
        <v>10</v>
      </c>
      <c r="D19" s="7">
        <f>'A1计算'!D19</f>
        <v>27.506</v>
      </c>
      <c r="E19" s="7">
        <f t="shared" si="0"/>
        <v>10.644898183134718</v>
      </c>
      <c r="F19" s="13"/>
      <c r="G19" s="31">
        <v>15</v>
      </c>
      <c r="H19" s="7">
        <f>'A1计算'!G19</f>
        <v>2.4</v>
      </c>
      <c r="I19" s="7">
        <v>10</v>
      </c>
      <c r="J19" s="7">
        <f>'A1计算'!E19</f>
        <v>12.634</v>
      </c>
      <c r="K19" s="7">
        <f t="shared" si="1"/>
        <v>11.709739025248759</v>
      </c>
    </row>
    <row r="20" spans="1:11" ht="14.25">
      <c r="A20" s="5">
        <v>16</v>
      </c>
      <c r="B20" s="7">
        <f>'A1计算'!F20</f>
        <v>2.4</v>
      </c>
      <c r="C20" s="7">
        <v>10</v>
      </c>
      <c r="D20" s="7">
        <f>'A1计算'!D20</f>
        <v>12.634</v>
      </c>
      <c r="E20" s="7">
        <f t="shared" si="0"/>
        <v>11.709739025248759</v>
      </c>
      <c r="F20" s="13"/>
      <c r="G20" s="31">
        <v>16</v>
      </c>
      <c r="H20" s="7">
        <f>'A1计算'!G20</f>
        <v>2.7</v>
      </c>
      <c r="I20" s="7">
        <v>10</v>
      </c>
      <c r="J20" s="7">
        <f>'A1计算'!E20</f>
        <v>29.311</v>
      </c>
      <c r="K20" s="7">
        <f t="shared" si="1"/>
        <v>11.773380174122211</v>
      </c>
    </row>
    <row r="21" spans="1:11" ht="14.25">
      <c r="A21" s="5">
        <v>17</v>
      </c>
      <c r="B21" s="7">
        <f>'A1计算'!F21</f>
        <v>2.7</v>
      </c>
      <c r="C21" s="7">
        <v>10</v>
      </c>
      <c r="D21" s="7">
        <f>'A1计算'!D21</f>
        <v>29.311</v>
      </c>
      <c r="E21" s="7">
        <f t="shared" si="0"/>
        <v>11.773380174122211</v>
      </c>
      <c r="F21" s="13"/>
      <c r="G21" s="31">
        <v>17</v>
      </c>
      <c r="H21" s="7">
        <f>'A1计算'!G21</f>
        <v>2.7</v>
      </c>
      <c r="I21" s="7">
        <v>10</v>
      </c>
      <c r="J21" s="7">
        <f>'A1计算'!E21</f>
        <v>35.189</v>
      </c>
      <c r="K21" s="7">
        <f t="shared" si="1"/>
        <v>11.035371648325182</v>
      </c>
    </row>
    <row r="22" spans="1:11" ht="14.25">
      <c r="A22" s="5">
        <v>18</v>
      </c>
      <c r="B22" s="7">
        <f>'A1计算'!F22</f>
        <v>2.7</v>
      </c>
      <c r="C22" s="7">
        <v>10</v>
      </c>
      <c r="D22" s="7">
        <f>'A1计算'!D22</f>
        <v>35.189</v>
      </c>
      <c r="E22" s="7">
        <f t="shared" si="0"/>
        <v>11.035371648325183</v>
      </c>
      <c r="F22" s="13"/>
      <c r="G22" s="31">
        <v>18</v>
      </c>
      <c r="H22" s="7">
        <f>'A1计算'!G22</f>
        <v>2.7</v>
      </c>
      <c r="I22" s="7">
        <v>10</v>
      </c>
      <c r="J22" s="7">
        <f>'A1计算'!E22</f>
        <v>9.463000000000001</v>
      </c>
      <c r="K22" s="7">
        <f t="shared" si="1"/>
        <v>13.31647751038512</v>
      </c>
    </row>
    <row r="23" spans="1:11" ht="14.25">
      <c r="A23" s="5">
        <v>19</v>
      </c>
      <c r="B23" s="7">
        <f>'A1计算'!F23</f>
        <v>2.7</v>
      </c>
      <c r="C23" s="7">
        <v>10</v>
      </c>
      <c r="D23" s="7">
        <f>'A1计算'!D23</f>
        <v>9.463000000000001</v>
      </c>
      <c r="E23" s="7">
        <f t="shared" si="0"/>
        <v>13.31647751038512</v>
      </c>
      <c r="F23" s="13"/>
      <c r="G23" s="31">
        <v>19</v>
      </c>
      <c r="H23" s="7">
        <f>'A1计算'!G23</f>
        <v>3.01</v>
      </c>
      <c r="I23" s="7">
        <v>10</v>
      </c>
      <c r="J23" s="7">
        <f>'A1计算'!E23</f>
        <v>5.473000000000001</v>
      </c>
      <c r="K23" s="7">
        <f t="shared" si="1"/>
        <v>14.981460367398732</v>
      </c>
    </row>
    <row r="24" spans="1:11" ht="14.25">
      <c r="A24" s="5">
        <v>20</v>
      </c>
      <c r="B24" s="7">
        <f>'A1计算'!F24</f>
        <v>3.01</v>
      </c>
      <c r="C24" s="7">
        <v>10</v>
      </c>
      <c r="D24" s="7">
        <f>'A1计算'!D24</f>
        <v>5.473000000000001</v>
      </c>
      <c r="E24" s="7">
        <f t="shared" si="0"/>
        <v>14.981460367398732</v>
      </c>
      <c r="F24" s="13"/>
      <c r="G24" s="31">
        <v>20</v>
      </c>
      <c r="H24" s="7">
        <f>'A1计算'!G24</f>
        <v>3.01</v>
      </c>
      <c r="I24" s="7">
        <v>10</v>
      </c>
      <c r="J24" s="7">
        <f>'A1计算'!E24</f>
        <v>13.322000000000001</v>
      </c>
      <c r="K24" s="7">
        <f t="shared" si="1"/>
        <v>14.64542021805755</v>
      </c>
    </row>
    <row r="25" spans="1:11" ht="14.25">
      <c r="A25" s="5">
        <v>21</v>
      </c>
      <c r="B25" s="7">
        <f>'A1计算'!F25</f>
        <v>3.01</v>
      </c>
      <c r="C25" s="7">
        <v>10</v>
      </c>
      <c r="D25" s="7">
        <f>'A1计算'!D25</f>
        <v>13.322000000000001</v>
      </c>
      <c r="E25" s="7">
        <f t="shared" si="0"/>
        <v>14.64542021805755</v>
      </c>
      <c r="F25" s="13"/>
      <c r="G25" s="31">
        <v>21</v>
      </c>
      <c r="H25" s="7">
        <f>'A1计算'!G25</f>
        <v>3.01</v>
      </c>
      <c r="I25" s="7">
        <v>10</v>
      </c>
      <c r="J25" s="7">
        <f>'A1计算'!E25</f>
        <v>24.51</v>
      </c>
      <c r="K25" s="7">
        <f t="shared" si="1"/>
        <v>13.69518132284591</v>
      </c>
    </row>
    <row r="26" spans="1:11" ht="14.25">
      <c r="A26" s="5">
        <v>22</v>
      </c>
      <c r="B26" s="7">
        <f>'A1计算'!F26</f>
        <v>3.01</v>
      </c>
      <c r="C26" s="7">
        <v>10</v>
      </c>
      <c r="D26" s="7">
        <f>'A1计算'!D26</f>
        <v>24.51</v>
      </c>
      <c r="E26" s="7">
        <f t="shared" si="0"/>
        <v>13.69518132284591</v>
      </c>
      <c r="F26" s="13"/>
      <c r="G26" s="31">
        <v>22</v>
      </c>
      <c r="H26" s="7">
        <f>'A1计算'!G26</f>
        <v>3.31</v>
      </c>
      <c r="I26" s="7">
        <v>10</v>
      </c>
      <c r="J26" s="7">
        <f>'A1计算'!E26</f>
        <v>25.807000000000002</v>
      </c>
      <c r="K26" s="7">
        <f t="shared" si="1"/>
        <v>14.901040327670254</v>
      </c>
    </row>
    <row r="27" spans="1:11" ht="14.25">
      <c r="A27" s="5">
        <v>23</v>
      </c>
      <c r="B27" s="7">
        <f>'A1计算'!F27</f>
        <v>3.31</v>
      </c>
      <c r="C27" s="7">
        <v>10</v>
      </c>
      <c r="D27" s="7">
        <f>'A1计算'!D27</f>
        <v>25.807000000000002</v>
      </c>
      <c r="E27" s="7">
        <f t="shared" si="0"/>
        <v>14.901040327670254</v>
      </c>
      <c r="F27" s="13"/>
      <c r="G27" s="31">
        <v>23</v>
      </c>
      <c r="H27" s="7">
        <f>'A1计算'!G27</f>
        <v>3.62</v>
      </c>
      <c r="I27" s="7">
        <v>10</v>
      </c>
      <c r="J27" s="7">
        <f>'A1计算'!E27</f>
        <v>25.807000000000002</v>
      </c>
      <c r="K27" s="7">
        <f t="shared" si="1"/>
        <v>16.296606038116714</v>
      </c>
    </row>
    <row r="28" spans="1:11" ht="14.25">
      <c r="A28" s="5">
        <v>24</v>
      </c>
      <c r="B28" s="7">
        <f>'A1计算'!F28</f>
        <v>3.62</v>
      </c>
      <c r="C28" s="7">
        <v>10</v>
      </c>
      <c r="D28" s="7">
        <f>'A1计算'!D28</f>
        <v>25.807000000000002</v>
      </c>
      <c r="E28" s="7">
        <f t="shared" si="0"/>
        <v>16.296606038116714</v>
      </c>
      <c r="F28" s="13"/>
      <c r="G28" s="31">
        <v>24</v>
      </c>
      <c r="H28" s="7">
        <f>'A1计算'!G28</f>
        <v>3.62</v>
      </c>
      <c r="I28" s="7">
        <v>10</v>
      </c>
      <c r="J28" s="7">
        <f>'A1计算'!E28</f>
        <v>26.844</v>
      </c>
      <c r="K28" s="7">
        <f t="shared" si="1"/>
        <v>16.15147228742127</v>
      </c>
    </row>
    <row r="29" spans="1:11" ht="14.25">
      <c r="A29" s="5">
        <v>25</v>
      </c>
      <c r="B29" s="7">
        <f>'A1计算'!F29</f>
        <v>3.62</v>
      </c>
      <c r="C29" s="7">
        <v>10</v>
      </c>
      <c r="D29" s="7">
        <f>'A1计算'!D29</f>
        <v>26.844</v>
      </c>
      <c r="E29" s="7">
        <f t="shared" si="0"/>
        <v>16.15147228742127</v>
      </c>
      <c r="F29" s="13"/>
      <c r="G29" s="31">
        <v>25</v>
      </c>
      <c r="H29" s="7">
        <f>'A1计算'!G29</f>
        <v>3.62</v>
      </c>
      <c r="I29" s="7">
        <v>10</v>
      </c>
      <c r="J29" s="7">
        <f>'A1计算'!E29</f>
        <v>22.153000000000002</v>
      </c>
      <c r="K29" s="7">
        <f t="shared" si="1"/>
        <v>16.76519943223478</v>
      </c>
    </row>
    <row r="30" spans="1:11" ht="14.25">
      <c r="A30" s="5">
        <v>26</v>
      </c>
      <c r="B30" s="7">
        <f>'A1计算'!F30</f>
        <v>3.62</v>
      </c>
      <c r="C30" s="7">
        <v>10</v>
      </c>
      <c r="D30" s="7">
        <f>'A1计算'!D30</f>
        <v>22.153000000000002</v>
      </c>
      <c r="E30" s="7">
        <f t="shared" si="0"/>
        <v>16.76519943223478</v>
      </c>
      <c r="F30" s="13"/>
      <c r="G30" s="31">
        <v>26</v>
      </c>
      <c r="H30" s="7">
        <f>'A1计算'!G30</f>
        <v>3.62</v>
      </c>
      <c r="I30" s="7">
        <v>10</v>
      </c>
      <c r="J30" s="7">
        <f>'A1计算'!E30</f>
        <v>18.296</v>
      </c>
      <c r="K30" s="7">
        <f t="shared" si="1"/>
        <v>17.185917482311215</v>
      </c>
    </row>
    <row r="31" spans="1:11" ht="14.25">
      <c r="A31" s="5">
        <v>27</v>
      </c>
      <c r="B31" s="7">
        <f>'A1计算'!F31</f>
        <v>3.62</v>
      </c>
      <c r="C31" s="7">
        <v>10</v>
      </c>
      <c r="D31" s="7">
        <f>'A1计算'!D31</f>
        <v>18.296</v>
      </c>
      <c r="E31" s="7">
        <f t="shared" si="0"/>
        <v>17.185917482311215</v>
      </c>
      <c r="G31" s="31">
        <v>27</v>
      </c>
      <c r="H31" s="7">
        <f>'A1计算'!G31</f>
        <v>3.62</v>
      </c>
      <c r="I31" s="7">
        <v>10</v>
      </c>
      <c r="J31" s="7">
        <f>'A1计算'!E31</f>
        <v>29.942999999999998</v>
      </c>
      <c r="K31" s="7">
        <f t="shared" si="1"/>
        <v>15.686448336218161</v>
      </c>
    </row>
    <row r="32" spans="1:11" ht="14.25">
      <c r="A32" s="5">
        <v>28</v>
      </c>
      <c r="B32" s="7">
        <f>'A1计算'!F32</f>
        <v>3.62</v>
      </c>
      <c r="C32" s="7">
        <v>10</v>
      </c>
      <c r="D32" s="7">
        <f>'A1计算'!D32</f>
        <v>29.942999999999998</v>
      </c>
      <c r="E32" s="7">
        <f t="shared" si="0"/>
        <v>15.686448336218161</v>
      </c>
      <c r="G32" s="31">
        <v>28</v>
      </c>
      <c r="H32" s="7">
        <f>'A1计算'!G32</f>
        <v>3.62</v>
      </c>
      <c r="I32" s="7">
        <v>2</v>
      </c>
      <c r="J32" s="7">
        <f>'A1计算'!E32</f>
        <v>0</v>
      </c>
      <c r="K32" s="7">
        <f t="shared" si="1"/>
        <v>3.62</v>
      </c>
    </row>
    <row r="33" spans="1:11" ht="14.25">
      <c r="A33" t="s">
        <v>187</v>
      </c>
      <c r="B33" s="7">
        <f>'A1计算'!F33</f>
        <v>3.62</v>
      </c>
      <c r="C33" s="7">
        <v>10</v>
      </c>
      <c r="D33" s="7">
        <f>'A1计算'!D33</f>
        <v>29.943</v>
      </c>
      <c r="E33" s="7">
        <f>B33*C33/2*COS(3.14*D33/180)</f>
        <v>15.686448336218161</v>
      </c>
      <c r="G33" t="s">
        <v>187</v>
      </c>
      <c r="H33" s="7">
        <f>'A1计算'!G33</f>
        <v>1.83</v>
      </c>
      <c r="I33" s="7">
        <v>2</v>
      </c>
      <c r="J33" s="7">
        <f>'A1计算'!E33</f>
        <v>29.943</v>
      </c>
      <c r="K33" s="7">
        <f t="shared" si="1"/>
        <v>1.585977925706035</v>
      </c>
    </row>
    <row r="34" spans="1:11" ht="14.25">
      <c r="A34" s="42">
        <v>29</v>
      </c>
      <c r="B34" s="7">
        <f>'A1计算'!F34</f>
        <v>1.83</v>
      </c>
      <c r="C34" s="7">
        <v>10</v>
      </c>
      <c r="D34" s="7">
        <f>'A1计算'!D34</f>
        <v>29.943</v>
      </c>
      <c r="E34" s="7">
        <f>B34*C34/2*COS(3.14*D34/180)</f>
        <v>7.929889628530176</v>
      </c>
      <c r="G34" s="45">
        <v>29</v>
      </c>
      <c r="H34" s="7">
        <f>'A1计算'!G34</f>
        <v>1.83</v>
      </c>
      <c r="I34" s="7">
        <v>2</v>
      </c>
      <c r="J34" s="7">
        <f>'A1计算'!E34</f>
        <v>0</v>
      </c>
      <c r="K34" s="7">
        <f t="shared" si="1"/>
        <v>1.83</v>
      </c>
    </row>
  </sheetData>
  <mergeCells count="2">
    <mergeCell ref="A1:E1"/>
    <mergeCell ref="G1:K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6">
      <selection activeCell="K33" sqref="K33:K34"/>
    </sheetView>
  </sheetViews>
  <sheetFormatPr defaultColWidth="9.00390625" defaultRowHeight="14.25"/>
  <sheetData>
    <row r="1" spans="1:11" ht="14.25">
      <c r="A1" s="52" t="s">
        <v>94</v>
      </c>
      <c r="B1" s="52"/>
      <c r="C1" s="52"/>
      <c r="D1" s="52"/>
      <c r="E1" s="52"/>
      <c r="G1" s="52" t="s">
        <v>95</v>
      </c>
      <c r="H1" s="52"/>
      <c r="I1" s="52"/>
      <c r="J1" s="52"/>
      <c r="K1" s="52"/>
    </row>
    <row r="2" spans="1:11" ht="18.75">
      <c r="A2" s="5" t="s">
        <v>1</v>
      </c>
      <c r="B2" s="6" t="s">
        <v>93</v>
      </c>
      <c r="C2" s="6" t="s">
        <v>87</v>
      </c>
      <c r="D2" s="6" t="s">
        <v>85</v>
      </c>
      <c r="E2" s="6" t="s">
        <v>92</v>
      </c>
      <c r="G2" s="5" t="s">
        <v>1</v>
      </c>
      <c r="H2" s="6" t="s">
        <v>96</v>
      </c>
      <c r="I2" s="6" t="s">
        <v>91</v>
      </c>
      <c r="J2" s="6" t="s">
        <v>45</v>
      </c>
      <c r="K2" s="6" t="s">
        <v>97</v>
      </c>
    </row>
    <row r="3" spans="1:11" ht="14.25">
      <c r="A3" s="5">
        <v>0</v>
      </c>
      <c r="B3" s="7">
        <v>2.77</v>
      </c>
      <c r="C3" s="7">
        <f>'钢管自重计算'!C3</f>
        <v>0</v>
      </c>
      <c r="D3" s="7">
        <f>'钢管自重计算'!D3</f>
        <v>0</v>
      </c>
      <c r="E3" s="7">
        <f>B3*C3/2*COS(3.14*D3/180)</f>
        <v>0</v>
      </c>
      <c r="F3" s="13"/>
      <c r="G3" s="30">
        <v>0</v>
      </c>
      <c r="H3" s="7">
        <v>2.77</v>
      </c>
      <c r="I3" s="7">
        <f>'钢管自重计算'!I3</f>
        <v>10</v>
      </c>
      <c r="J3" s="7">
        <f>'钢管自重计算'!J3</f>
        <v>4.861</v>
      </c>
      <c r="K3" s="7">
        <f>H3*I3/2*COS(3.14*J3/180)</f>
        <v>13.80023488024444</v>
      </c>
    </row>
    <row r="4" spans="1:11" ht="14.25">
      <c r="A4" s="5">
        <v>1</v>
      </c>
      <c r="B4" s="7">
        <v>2.77</v>
      </c>
      <c r="C4" s="7">
        <f>'钢管自重计算'!C4</f>
        <v>10</v>
      </c>
      <c r="D4" s="7">
        <f>'钢管自重计算'!D4</f>
        <v>4.861</v>
      </c>
      <c r="E4" s="7">
        <f aca="true" t="shared" si="0" ref="E4:E34">B4*C4/2*COS(3.14*D4/180)</f>
        <v>13.80023488024444</v>
      </c>
      <c r="F4" s="13"/>
      <c r="G4" s="30">
        <v>1</v>
      </c>
      <c r="H4" s="7">
        <v>2.77</v>
      </c>
      <c r="I4" s="7">
        <f>'钢管自重计算'!I4</f>
        <v>10</v>
      </c>
      <c r="J4" s="7">
        <f>'钢管自重计算'!J4</f>
        <v>7.461</v>
      </c>
      <c r="K4" s="7">
        <f aca="true" t="shared" si="1" ref="K4:K34">H4*I4/2*COS(3.14*J4/180)</f>
        <v>13.732857365981522</v>
      </c>
    </row>
    <row r="5" spans="1:11" ht="15.75">
      <c r="A5" s="6" t="s">
        <v>184</v>
      </c>
      <c r="B5" s="7">
        <v>2.77</v>
      </c>
      <c r="C5" s="7">
        <f>'钢管自重计算'!C5</f>
        <v>10</v>
      </c>
      <c r="D5" s="7">
        <f>'钢管自重计算'!D5</f>
        <v>7.461</v>
      </c>
      <c r="E5" s="7">
        <f t="shared" si="0"/>
        <v>13.732857365981522</v>
      </c>
      <c r="F5" s="13"/>
      <c r="G5" s="33" t="s">
        <v>184</v>
      </c>
      <c r="H5" s="7">
        <v>2.77</v>
      </c>
      <c r="I5" s="7">
        <f>'钢管自重计算'!I5</f>
        <v>10</v>
      </c>
      <c r="J5" s="7">
        <f>'钢管自重计算'!J5</f>
        <v>11.414</v>
      </c>
      <c r="K5" s="7">
        <f t="shared" si="1"/>
        <v>13.576363189226331</v>
      </c>
    </row>
    <row r="6" spans="1:11" ht="14.25">
      <c r="A6" s="5">
        <v>2</v>
      </c>
      <c r="B6" s="7">
        <v>2.77</v>
      </c>
      <c r="C6" s="7">
        <f>'钢管自重计算'!C6</f>
        <v>10</v>
      </c>
      <c r="D6" s="7">
        <f>'钢管自重计算'!D6</f>
        <v>11.414</v>
      </c>
      <c r="E6" s="7">
        <f t="shared" si="0"/>
        <v>13.576363189226331</v>
      </c>
      <c r="F6" s="13"/>
      <c r="G6" s="30">
        <v>2</v>
      </c>
      <c r="H6" s="7">
        <v>2.77</v>
      </c>
      <c r="I6" s="7">
        <f>'钢管自重计算'!I6</f>
        <v>10</v>
      </c>
      <c r="J6" s="7">
        <f>'钢管自重计算'!J6</f>
        <v>12.395</v>
      </c>
      <c r="K6" s="7">
        <f t="shared" si="1"/>
        <v>13.527496503881851</v>
      </c>
    </row>
    <row r="7" spans="1:11" ht="14.25">
      <c r="A7" s="5">
        <v>3</v>
      </c>
      <c r="B7" s="7">
        <v>2.77</v>
      </c>
      <c r="C7" s="7">
        <f>'钢管自重计算'!C7</f>
        <v>10</v>
      </c>
      <c r="D7" s="7">
        <f>'钢管自重计算'!D7</f>
        <v>12.395</v>
      </c>
      <c r="E7" s="7">
        <f t="shared" si="0"/>
        <v>13.527496503881851</v>
      </c>
      <c r="F7" s="13"/>
      <c r="G7" s="30">
        <v>3</v>
      </c>
      <c r="H7" s="7">
        <v>2.77</v>
      </c>
      <c r="I7" s="7">
        <f>'钢管自重计算'!I7</f>
        <v>10</v>
      </c>
      <c r="J7" s="7">
        <f>'钢管自重计算'!J7</f>
        <v>4.368</v>
      </c>
      <c r="K7" s="7">
        <f t="shared" si="1"/>
        <v>13.809812667000537</v>
      </c>
    </row>
    <row r="8" spans="1:11" ht="14.25">
      <c r="A8" s="5">
        <v>4</v>
      </c>
      <c r="B8" s="7">
        <v>2.77</v>
      </c>
      <c r="C8" s="7">
        <f>'钢管自重计算'!C8</f>
        <v>10</v>
      </c>
      <c r="D8" s="7">
        <f>'钢管自重计算'!D8</f>
        <v>4.368</v>
      </c>
      <c r="E8" s="7">
        <f t="shared" si="0"/>
        <v>13.809812667000537</v>
      </c>
      <c r="F8" s="13"/>
      <c r="G8" s="30">
        <v>4</v>
      </c>
      <c r="H8" s="7">
        <v>2.77</v>
      </c>
      <c r="I8" s="7">
        <f>'钢管自重计算'!I8</f>
        <v>10</v>
      </c>
      <c r="J8" s="7">
        <f>'钢管自重计算'!J8</f>
        <v>4.368</v>
      </c>
      <c r="K8" s="7">
        <f t="shared" si="1"/>
        <v>13.809812667000537</v>
      </c>
    </row>
    <row r="9" spans="1:11" ht="14.25">
      <c r="A9" s="5">
        <v>5</v>
      </c>
      <c r="B9" s="7">
        <v>2.77</v>
      </c>
      <c r="C9" s="7">
        <f>'钢管自重计算'!C9</f>
        <v>10</v>
      </c>
      <c r="D9" s="7">
        <f>'钢管自重计算'!D9</f>
        <v>4.368</v>
      </c>
      <c r="E9" s="7">
        <f t="shared" si="0"/>
        <v>13.809812667000537</v>
      </c>
      <c r="F9" s="13"/>
      <c r="G9" s="30">
        <v>5</v>
      </c>
      <c r="H9" s="7">
        <v>2.77</v>
      </c>
      <c r="I9" s="7">
        <f>'钢管自重计算'!I9</f>
        <v>10</v>
      </c>
      <c r="J9" s="7">
        <f>'钢管自重计算'!J9</f>
        <v>11.760000000000002</v>
      </c>
      <c r="K9" s="7">
        <f t="shared" si="1"/>
        <v>13.559580976993866</v>
      </c>
    </row>
    <row r="10" spans="1:11" ht="14.25">
      <c r="A10" s="5">
        <v>6</v>
      </c>
      <c r="B10" s="7">
        <v>2.77</v>
      </c>
      <c r="C10" s="7">
        <f>'钢管自重计算'!C10</f>
        <v>10</v>
      </c>
      <c r="D10" s="7">
        <f>'钢管自重计算'!D10</f>
        <v>11.760000000000002</v>
      </c>
      <c r="E10" s="7">
        <f t="shared" si="0"/>
        <v>13.559580976993866</v>
      </c>
      <c r="F10" s="13"/>
      <c r="G10" s="30">
        <v>6</v>
      </c>
      <c r="H10" s="7">
        <v>2.77</v>
      </c>
      <c r="I10" s="7">
        <f>'钢管自重计算'!I10</f>
        <v>10</v>
      </c>
      <c r="J10" s="7">
        <f>'钢管自重计算'!J10</f>
        <v>5.9380000000000015</v>
      </c>
      <c r="K10" s="7">
        <f t="shared" si="1"/>
        <v>13.775762029910245</v>
      </c>
    </row>
    <row r="11" spans="1:11" ht="14.25">
      <c r="A11" s="5">
        <v>7</v>
      </c>
      <c r="B11" s="7">
        <v>2.77</v>
      </c>
      <c r="C11" s="7">
        <f>'钢管自重计算'!C11</f>
        <v>10</v>
      </c>
      <c r="D11" s="7">
        <f>'钢管自重计算'!D11</f>
        <v>5.9380000000000015</v>
      </c>
      <c r="E11" s="7">
        <f t="shared" si="0"/>
        <v>13.775762029910245</v>
      </c>
      <c r="F11" s="13"/>
      <c r="G11" s="30">
        <v>7</v>
      </c>
      <c r="H11" s="7">
        <v>2.77</v>
      </c>
      <c r="I11" s="7">
        <f>'钢管自重计算'!I11</f>
        <v>10</v>
      </c>
      <c r="J11" s="7">
        <f>'钢管自重计算'!J11</f>
        <v>5.9380000000000015</v>
      </c>
      <c r="K11" s="7">
        <f t="shared" si="1"/>
        <v>13.775762029910245</v>
      </c>
    </row>
    <row r="12" spans="1:11" ht="14.25">
      <c r="A12" s="5">
        <v>8</v>
      </c>
      <c r="B12" s="7">
        <v>2.77</v>
      </c>
      <c r="C12" s="7">
        <f>'钢管自重计算'!C12</f>
        <v>10</v>
      </c>
      <c r="D12" s="7">
        <f>'钢管自重计算'!D12</f>
        <v>5.9380000000000015</v>
      </c>
      <c r="E12" s="7">
        <f t="shared" si="0"/>
        <v>13.775762029910245</v>
      </c>
      <c r="F12" s="13"/>
      <c r="G12" s="30">
        <v>8</v>
      </c>
      <c r="H12" s="7">
        <v>2.77</v>
      </c>
      <c r="I12" s="7">
        <f>'钢管自重计算'!I12</f>
        <v>10</v>
      </c>
      <c r="J12" s="7">
        <f>'钢管自重计算'!J12</f>
        <v>5.9380000000000015</v>
      </c>
      <c r="K12" s="7">
        <f t="shared" si="1"/>
        <v>13.775762029910245</v>
      </c>
    </row>
    <row r="13" spans="1:11" ht="14.25">
      <c r="A13" s="5">
        <v>9</v>
      </c>
      <c r="B13" s="7">
        <v>2.77</v>
      </c>
      <c r="C13" s="7">
        <f>'钢管自重计算'!C13</f>
        <v>10</v>
      </c>
      <c r="D13" s="7">
        <f>'钢管自重计算'!D13</f>
        <v>5.9380000000000015</v>
      </c>
      <c r="E13" s="7">
        <f t="shared" si="0"/>
        <v>13.775762029910245</v>
      </c>
      <c r="F13" s="13"/>
      <c r="G13" s="30">
        <v>9</v>
      </c>
      <c r="H13" s="7">
        <v>2.77</v>
      </c>
      <c r="I13" s="7">
        <f>'钢管自重计算'!I13</f>
        <v>10</v>
      </c>
      <c r="J13" s="7">
        <f>'钢管自重计算'!J13</f>
        <v>13.747000000000002</v>
      </c>
      <c r="K13" s="7">
        <f t="shared" si="1"/>
        <v>13.453660243974104</v>
      </c>
    </row>
    <row r="14" spans="1:11" ht="14.25">
      <c r="A14" s="5">
        <v>10</v>
      </c>
      <c r="B14" s="7">
        <v>2.77</v>
      </c>
      <c r="C14" s="7">
        <f>'钢管自重计算'!C14</f>
        <v>10</v>
      </c>
      <c r="D14" s="7">
        <f>'钢管自重计算'!D14</f>
        <v>13.747000000000002</v>
      </c>
      <c r="E14" s="7">
        <f t="shared" si="0"/>
        <v>13.453660243974104</v>
      </c>
      <c r="F14" s="13"/>
      <c r="G14" s="30">
        <v>10</v>
      </c>
      <c r="H14" s="7">
        <v>2.77</v>
      </c>
      <c r="I14" s="7">
        <f>'钢管自重计算'!I14</f>
        <v>10</v>
      </c>
      <c r="J14" s="7">
        <f>'钢管自重计算'!J14</f>
        <v>32.947</v>
      </c>
      <c r="K14" s="7">
        <f t="shared" si="1"/>
        <v>11.624755449963404</v>
      </c>
    </row>
    <row r="15" spans="1:11" ht="14.25">
      <c r="A15" s="5">
        <v>11</v>
      </c>
      <c r="B15" s="7">
        <v>2.77</v>
      </c>
      <c r="C15" s="7">
        <f>'钢管自重计算'!C15</f>
        <v>10</v>
      </c>
      <c r="D15" s="7">
        <f>'钢管自重计算'!D15</f>
        <v>32.947</v>
      </c>
      <c r="E15" s="7">
        <f t="shared" si="0"/>
        <v>11.624755449963404</v>
      </c>
      <c r="F15" s="13"/>
      <c r="G15" s="30">
        <v>11</v>
      </c>
      <c r="H15" s="7">
        <v>2.77</v>
      </c>
      <c r="I15" s="7">
        <f>'钢管自重计算'!I15</f>
        <v>10</v>
      </c>
      <c r="J15" s="7">
        <f>'钢管自重计算'!J15</f>
        <v>35.249</v>
      </c>
      <c r="K15" s="7">
        <f t="shared" si="1"/>
        <v>11.313117484808984</v>
      </c>
    </row>
    <row r="16" spans="1:11" ht="14.25">
      <c r="A16" s="5">
        <v>12</v>
      </c>
      <c r="B16" s="7">
        <v>2.77</v>
      </c>
      <c r="C16" s="7">
        <f>'钢管自重计算'!C16</f>
        <v>10</v>
      </c>
      <c r="D16" s="7">
        <f>'钢管自重计算'!D16</f>
        <v>35.249</v>
      </c>
      <c r="E16" s="7">
        <f t="shared" si="0"/>
        <v>11.313117484808984</v>
      </c>
      <c r="F16" s="13"/>
      <c r="G16" s="30">
        <v>12</v>
      </c>
      <c r="H16" s="7">
        <v>2.77</v>
      </c>
      <c r="I16" s="7">
        <f>'钢管自重计算'!I16</f>
        <v>10</v>
      </c>
      <c r="J16" s="7">
        <f>'钢管自重计算'!J16</f>
        <v>36.939</v>
      </c>
      <c r="K16" s="7">
        <f t="shared" si="1"/>
        <v>11.07268936239553</v>
      </c>
    </row>
    <row r="17" spans="1:11" ht="14.25">
      <c r="A17" s="5">
        <v>13</v>
      </c>
      <c r="B17" s="7">
        <v>2.77</v>
      </c>
      <c r="C17" s="7">
        <f>'钢管自重计算'!C17</f>
        <v>10</v>
      </c>
      <c r="D17" s="7">
        <f>'钢管自重计算'!D17</f>
        <v>36.939</v>
      </c>
      <c r="E17" s="7">
        <f t="shared" si="0"/>
        <v>11.07268936239553</v>
      </c>
      <c r="F17" s="13"/>
      <c r="G17" s="30">
        <v>13</v>
      </c>
      <c r="H17" s="7">
        <v>2.77</v>
      </c>
      <c r="I17" s="7">
        <f>'钢管自重计算'!I17</f>
        <v>10</v>
      </c>
      <c r="J17" s="7">
        <f>'钢管自重计算'!J17</f>
        <v>35.259</v>
      </c>
      <c r="K17" s="7">
        <f t="shared" si="1"/>
        <v>11.311723547717914</v>
      </c>
    </row>
    <row r="18" spans="1:11" ht="14.25">
      <c r="A18" s="5">
        <v>14</v>
      </c>
      <c r="B18" s="7">
        <v>2.77</v>
      </c>
      <c r="C18" s="7">
        <f>'钢管自重计算'!C18</f>
        <v>10</v>
      </c>
      <c r="D18" s="7">
        <f>'钢管自重计算'!D18</f>
        <v>35.259</v>
      </c>
      <c r="E18" s="7">
        <f t="shared" si="0"/>
        <v>11.311723547717914</v>
      </c>
      <c r="F18" s="13"/>
      <c r="G18" s="30">
        <v>14</v>
      </c>
      <c r="H18" s="7">
        <v>2.77</v>
      </c>
      <c r="I18" s="7">
        <f>'钢管自重计算'!I18</f>
        <v>10</v>
      </c>
      <c r="J18" s="7">
        <f>'钢管自重计算'!J18</f>
        <v>27.506</v>
      </c>
      <c r="K18" s="7">
        <f t="shared" si="1"/>
        <v>12.285986653034653</v>
      </c>
    </row>
    <row r="19" spans="1:11" ht="14.25">
      <c r="A19" s="5">
        <v>15</v>
      </c>
      <c r="B19" s="7">
        <v>2.77</v>
      </c>
      <c r="C19" s="7">
        <f>'钢管自重计算'!C19</f>
        <v>10</v>
      </c>
      <c r="D19" s="7">
        <f>'钢管自重计算'!D19</f>
        <v>27.506</v>
      </c>
      <c r="E19" s="7">
        <f t="shared" si="0"/>
        <v>12.285986653034653</v>
      </c>
      <c r="F19" s="13"/>
      <c r="G19" s="30">
        <v>15</v>
      </c>
      <c r="H19" s="7">
        <v>2.77</v>
      </c>
      <c r="I19" s="7">
        <f>'钢管自重计算'!I19</f>
        <v>10</v>
      </c>
      <c r="J19" s="7">
        <f>'钢管自重计算'!J19</f>
        <v>12.634</v>
      </c>
      <c r="K19" s="7">
        <f t="shared" si="1"/>
        <v>13.514990458307942</v>
      </c>
    </row>
    <row r="20" spans="1:11" ht="14.25">
      <c r="A20" s="5">
        <v>16</v>
      </c>
      <c r="B20" s="7">
        <v>2.77</v>
      </c>
      <c r="C20" s="7">
        <f>'钢管自重计算'!C20</f>
        <v>10</v>
      </c>
      <c r="D20" s="7">
        <f>'钢管自重计算'!D20</f>
        <v>12.634</v>
      </c>
      <c r="E20" s="7">
        <f t="shared" si="0"/>
        <v>13.514990458307942</v>
      </c>
      <c r="F20" s="13"/>
      <c r="G20" s="30">
        <v>16</v>
      </c>
      <c r="H20" s="7">
        <v>2.77</v>
      </c>
      <c r="I20" s="7">
        <f>'钢管自重计算'!I20</f>
        <v>10</v>
      </c>
      <c r="J20" s="7">
        <f>'钢管自重计算'!J20</f>
        <v>29.311</v>
      </c>
      <c r="K20" s="7">
        <f t="shared" si="1"/>
        <v>12.078615956414268</v>
      </c>
    </row>
    <row r="21" spans="1:11" ht="14.25">
      <c r="A21" s="5">
        <v>17</v>
      </c>
      <c r="B21" s="7">
        <v>2.77</v>
      </c>
      <c r="C21" s="7">
        <f>'钢管自重计算'!C21</f>
        <v>10</v>
      </c>
      <c r="D21" s="7">
        <f>'钢管自重计算'!D21</f>
        <v>29.311</v>
      </c>
      <c r="E21" s="7">
        <f t="shared" si="0"/>
        <v>12.078615956414268</v>
      </c>
      <c r="F21" s="13"/>
      <c r="G21" s="30">
        <v>17</v>
      </c>
      <c r="H21" s="7">
        <v>2.77</v>
      </c>
      <c r="I21" s="7">
        <f>'钢管自重计算'!I21</f>
        <v>10</v>
      </c>
      <c r="J21" s="7">
        <f>'钢管自重计算'!J21</f>
        <v>35.189</v>
      </c>
      <c r="K21" s="7">
        <f t="shared" si="1"/>
        <v>11.321473876244724</v>
      </c>
    </row>
    <row r="22" spans="1:11" ht="14.25">
      <c r="A22" s="5">
        <v>18</v>
      </c>
      <c r="B22" s="7">
        <v>2.77</v>
      </c>
      <c r="C22" s="7">
        <f>'钢管自重计算'!C22</f>
        <v>10</v>
      </c>
      <c r="D22" s="7">
        <f>'钢管自重计算'!D22</f>
        <v>35.189</v>
      </c>
      <c r="E22" s="7">
        <f t="shared" si="0"/>
        <v>11.321473876244724</v>
      </c>
      <c r="F22" s="13"/>
      <c r="G22" s="30">
        <v>18</v>
      </c>
      <c r="H22" s="7">
        <v>2.77</v>
      </c>
      <c r="I22" s="7">
        <f>'钢管自重计算'!I22</f>
        <v>10</v>
      </c>
      <c r="J22" s="7">
        <f>'钢管自重计算'!J22</f>
        <v>9.463000000000001</v>
      </c>
      <c r="K22" s="7">
        <f t="shared" si="1"/>
        <v>13.661719519913623</v>
      </c>
    </row>
    <row r="23" spans="1:11" ht="14.25">
      <c r="A23" s="5">
        <v>19</v>
      </c>
      <c r="B23" s="7">
        <v>2.77</v>
      </c>
      <c r="C23" s="7">
        <f>'钢管自重计算'!C23</f>
        <v>10</v>
      </c>
      <c r="D23" s="7">
        <f>'钢管自重计算'!D23</f>
        <v>9.463000000000001</v>
      </c>
      <c r="E23" s="7">
        <f t="shared" si="0"/>
        <v>13.661719519913623</v>
      </c>
      <c r="F23" s="13"/>
      <c r="G23" s="30">
        <v>19</v>
      </c>
      <c r="H23" s="7">
        <v>2.77</v>
      </c>
      <c r="I23" s="7">
        <f>'钢管自重计算'!I23</f>
        <v>10</v>
      </c>
      <c r="J23" s="7">
        <f>'钢管自重计算'!J23</f>
        <v>5.473000000000001</v>
      </c>
      <c r="K23" s="7">
        <f t="shared" si="1"/>
        <v>13.786925321493186</v>
      </c>
    </row>
    <row r="24" spans="1:11" ht="14.25">
      <c r="A24" s="5">
        <v>20</v>
      </c>
      <c r="B24" s="7">
        <v>2.77</v>
      </c>
      <c r="C24" s="7">
        <f>'钢管自重计算'!C24</f>
        <v>10</v>
      </c>
      <c r="D24" s="7">
        <f>'钢管自重计算'!D24</f>
        <v>5.473000000000001</v>
      </c>
      <c r="E24" s="7">
        <f t="shared" si="0"/>
        <v>13.786925321493186</v>
      </c>
      <c r="F24" s="13"/>
      <c r="G24" s="30">
        <v>20</v>
      </c>
      <c r="H24" s="7">
        <v>2.77</v>
      </c>
      <c r="I24" s="7">
        <f>'钢管自重计算'!I24</f>
        <v>10</v>
      </c>
      <c r="J24" s="7">
        <f>'钢管自重计算'!J24</f>
        <v>13.322000000000001</v>
      </c>
      <c r="K24" s="7">
        <f t="shared" si="1"/>
        <v>13.477679071102795</v>
      </c>
    </row>
    <row r="25" spans="1:11" ht="14.25">
      <c r="A25" s="5">
        <v>21</v>
      </c>
      <c r="B25" s="7">
        <v>2.77</v>
      </c>
      <c r="C25" s="7">
        <f>'钢管自重计算'!C25</f>
        <v>10</v>
      </c>
      <c r="D25" s="7">
        <f>'钢管自重计算'!D25</f>
        <v>13.322000000000001</v>
      </c>
      <c r="E25" s="7">
        <f t="shared" si="0"/>
        <v>13.477679071102795</v>
      </c>
      <c r="F25" s="13"/>
      <c r="G25" s="30">
        <v>21</v>
      </c>
      <c r="H25" s="7">
        <v>2.77</v>
      </c>
      <c r="I25" s="7">
        <f>'钢管自重计算'!I25</f>
        <v>10</v>
      </c>
      <c r="J25" s="7">
        <f>'钢管自重计算'!J25</f>
        <v>24.51</v>
      </c>
      <c r="K25" s="7">
        <f t="shared" si="1"/>
        <v>12.60320673231999</v>
      </c>
    </row>
    <row r="26" spans="1:11" ht="14.25">
      <c r="A26" s="5">
        <v>22</v>
      </c>
      <c r="B26" s="7">
        <v>2.77</v>
      </c>
      <c r="C26" s="7">
        <f>'钢管自重计算'!C26</f>
        <v>10</v>
      </c>
      <c r="D26" s="7">
        <f>'钢管自重计算'!D26</f>
        <v>24.51</v>
      </c>
      <c r="E26" s="7">
        <f t="shared" si="0"/>
        <v>12.60320673231999</v>
      </c>
      <c r="F26" s="13"/>
      <c r="G26" s="30">
        <v>22</v>
      </c>
      <c r="H26" s="7">
        <v>2.77</v>
      </c>
      <c r="I26" s="7">
        <f>'钢管自重计算'!I26</f>
        <v>10</v>
      </c>
      <c r="J26" s="7">
        <f>'钢管自重计算'!J26</f>
        <v>25.807000000000002</v>
      </c>
      <c r="K26" s="7">
        <f t="shared" si="1"/>
        <v>12.47005489656997</v>
      </c>
    </row>
    <row r="27" spans="1:11" ht="14.25">
      <c r="A27" s="5">
        <v>23</v>
      </c>
      <c r="B27" s="7">
        <v>2.77</v>
      </c>
      <c r="C27" s="7">
        <f>'钢管自重计算'!C27</f>
        <v>10</v>
      </c>
      <c r="D27" s="7">
        <f>'钢管自重计算'!D27</f>
        <v>25.807000000000002</v>
      </c>
      <c r="E27" s="7">
        <f t="shared" si="0"/>
        <v>12.47005489656997</v>
      </c>
      <c r="F27" s="13"/>
      <c r="G27" s="30">
        <v>23</v>
      </c>
      <c r="H27" s="7">
        <v>2.77</v>
      </c>
      <c r="I27" s="7">
        <f>'钢管自重计算'!I27</f>
        <v>10</v>
      </c>
      <c r="J27" s="7">
        <f>'钢管自重计算'!J27</f>
        <v>25.807000000000002</v>
      </c>
      <c r="K27" s="7">
        <f t="shared" si="1"/>
        <v>12.47005489656997</v>
      </c>
    </row>
    <row r="28" spans="1:11" ht="14.25">
      <c r="A28" s="5">
        <v>24</v>
      </c>
      <c r="B28" s="7">
        <v>2.77</v>
      </c>
      <c r="C28" s="7">
        <f>'钢管自重计算'!C28</f>
        <v>10</v>
      </c>
      <c r="D28" s="7">
        <f>'钢管自重计算'!D28</f>
        <v>25.807000000000002</v>
      </c>
      <c r="E28" s="7">
        <f t="shared" si="0"/>
        <v>12.47005489656997</v>
      </c>
      <c r="F28" s="13"/>
      <c r="G28" s="30">
        <v>24</v>
      </c>
      <c r="H28" s="7">
        <v>2.77</v>
      </c>
      <c r="I28" s="7">
        <f>'钢管自重计算'!I28</f>
        <v>10</v>
      </c>
      <c r="J28" s="7">
        <f>'钢管自重计算'!J28</f>
        <v>26.844</v>
      </c>
      <c r="K28" s="7">
        <f t="shared" si="1"/>
        <v>12.358999512750527</v>
      </c>
    </row>
    <row r="29" spans="1:11" ht="14.25">
      <c r="A29" s="5">
        <v>25</v>
      </c>
      <c r="B29" s="7">
        <v>2.77</v>
      </c>
      <c r="C29" s="7">
        <f>'钢管自重计算'!C29</f>
        <v>10</v>
      </c>
      <c r="D29" s="7">
        <f>'钢管自重计算'!D29</f>
        <v>26.844</v>
      </c>
      <c r="E29" s="7">
        <f t="shared" si="0"/>
        <v>12.358999512750527</v>
      </c>
      <c r="F29" s="13"/>
      <c r="G29" s="30">
        <v>25</v>
      </c>
      <c r="H29" s="7">
        <v>2.77</v>
      </c>
      <c r="I29" s="7">
        <f>'钢管自重计算'!I29</f>
        <v>10</v>
      </c>
      <c r="J29" s="7">
        <f>'钢管自重计算'!J29</f>
        <v>22.153000000000002</v>
      </c>
      <c r="K29" s="7">
        <f t="shared" si="1"/>
        <v>12.828619455052579</v>
      </c>
    </row>
    <row r="30" spans="1:11" ht="14.25">
      <c r="A30" s="5">
        <v>26</v>
      </c>
      <c r="B30" s="7">
        <v>2.77</v>
      </c>
      <c r="C30" s="7">
        <f>'钢管自重计算'!C30</f>
        <v>10</v>
      </c>
      <c r="D30" s="7">
        <f>'钢管自重计算'!D30</f>
        <v>22.153000000000002</v>
      </c>
      <c r="E30" s="7">
        <f t="shared" si="0"/>
        <v>12.828619455052579</v>
      </c>
      <c r="F30" s="13"/>
      <c r="G30" s="30">
        <v>26</v>
      </c>
      <c r="H30" s="7">
        <v>2.77</v>
      </c>
      <c r="I30" s="7">
        <f>'钢管自重计算'!I30</f>
        <v>10</v>
      </c>
      <c r="J30" s="7">
        <f>'钢管自重计算'!J30</f>
        <v>18.296</v>
      </c>
      <c r="K30" s="7">
        <f t="shared" si="1"/>
        <v>13.150550117680128</v>
      </c>
    </row>
    <row r="31" spans="1:11" ht="14.25">
      <c r="A31" s="5">
        <v>27</v>
      </c>
      <c r="B31" s="7">
        <v>2.77</v>
      </c>
      <c r="C31" s="7">
        <f>'钢管自重计算'!C31</f>
        <v>10</v>
      </c>
      <c r="D31" s="7">
        <f>'钢管自重计算'!D31</f>
        <v>18.296</v>
      </c>
      <c r="E31" s="7">
        <f t="shared" si="0"/>
        <v>13.150550117680128</v>
      </c>
      <c r="G31" s="30">
        <v>27</v>
      </c>
      <c r="H31" s="7">
        <v>2.77</v>
      </c>
      <c r="I31" s="7">
        <f>'钢管自重计算'!I31</f>
        <v>10</v>
      </c>
      <c r="J31" s="7">
        <f>'钢管自重计算'!J31</f>
        <v>29.942999999999998</v>
      </c>
      <c r="K31" s="7">
        <f t="shared" si="1"/>
        <v>12.00316626832163</v>
      </c>
    </row>
    <row r="32" spans="1:11" ht="14.25">
      <c r="A32" s="5">
        <v>28</v>
      </c>
      <c r="B32" s="7">
        <v>2.77</v>
      </c>
      <c r="C32" s="7">
        <f>'钢管自重计算'!C32</f>
        <v>10</v>
      </c>
      <c r="D32" s="7">
        <f>'钢管自重计算'!D32</f>
        <v>29.942999999999998</v>
      </c>
      <c r="E32" s="7">
        <f t="shared" si="0"/>
        <v>12.00316626832163</v>
      </c>
      <c r="G32" s="30">
        <v>28</v>
      </c>
      <c r="H32" s="7">
        <v>1.38</v>
      </c>
      <c r="I32" s="7">
        <f>'钢管自重计算'!I32</f>
        <v>2</v>
      </c>
      <c r="J32" s="7">
        <f>'钢管自重计算'!J32</f>
        <v>0</v>
      </c>
      <c r="K32" s="7">
        <f t="shared" si="1"/>
        <v>1.38</v>
      </c>
    </row>
    <row r="33" spans="1:11" ht="14.25">
      <c r="A33" t="s">
        <v>187</v>
      </c>
      <c r="B33" s="29">
        <v>0.69</v>
      </c>
      <c r="C33" s="7">
        <f>'钢管自重计算'!C33</f>
        <v>10</v>
      </c>
      <c r="D33" s="7">
        <f>'钢管自重计算'!D33</f>
        <v>29.943</v>
      </c>
      <c r="E33" s="7">
        <f t="shared" si="0"/>
        <v>2.9899583845277706</v>
      </c>
      <c r="G33" t="s">
        <v>187</v>
      </c>
      <c r="H33" s="7">
        <v>1.38</v>
      </c>
      <c r="I33" s="7">
        <f>'钢管自重计算'!I33</f>
        <v>2</v>
      </c>
      <c r="J33" s="7">
        <f>'钢管自重计算'!J33</f>
        <v>29.943</v>
      </c>
      <c r="K33" s="7">
        <f t="shared" si="1"/>
        <v>1.1959833538111082</v>
      </c>
    </row>
    <row r="34" spans="1:11" ht="14.25">
      <c r="A34" s="42">
        <v>29</v>
      </c>
      <c r="B34" s="29">
        <v>0.69</v>
      </c>
      <c r="C34" s="7">
        <f>'钢管自重计算'!C34</f>
        <v>10</v>
      </c>
      <c r="D34" s="7">
        <f>'钢管自重计算'!D34</f>
        <v>29.943</v>
      </c>
      <c r="E34" s="7">
        <f t="shared" si="0"/>
        <v>2.9899583845277706</v>
      </c>
      <c r="G34" s="34">
        <v>29</v>
      </c>
      <c r="H34" s="7">
        <v>1.38</v>
      </c>
      <c r="I34" s="7">
        <f>'钢管自重计算'!I34</f>
        <v>2</v>
      </c>
      <c r="J34" s="7">
        <f>'钢管自重计算'!J34</f>
        <v>0</v>
      </c>
      <c r="K34" s="7">
        <f t="shared" si="1"/>
        <v>1.38</v>
      </c>
    </row>
  </sheetData>
  <mergeCells count="2">
    <mergeCell ref="A1:E1"/>
    <mergeCell ref="G1:K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7">
      <selection activeCell="L38" sqref="L38"/>
    </sheetView>
  </sheetViews>
  <sheetFormatPr defaultColWidth="9.00390625" defaultRowHeight="14.25"/>
  <cols>
    <col min="2" max="3" width="9.125" style="0" bestFit="1" customWidth="1"/>
    <col min="4" max="5" width="9.50390625" style="0" bestFit="1" customWidth="1"/>
    <col min="7" max="7" width="9.50390625" style="0" bestFit="1" customWidth="1"/>
    <col min="8" max="9" width="9.125" style="0" bestFit="1" customWidth="1"/>
    <col min="10" max="10" width="9.50390625" style="0" bestFit="1" customWidth="1"/>
  </cols>
  <sheetData>
    <row r="1" spans="1:10" ht="14.25">
      <c r="A1" s="52" t="s">
        <v>98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8.75">
      <c r="A2" s="5" t="s">
        <v>1</v>
      </c>
      <c r="B2" s="6" t="s">
        <v>99</v>
      </c>
      <c r="C2" s="6" t="s">
        <v>100</v>
      </c>
      <c r="D2" s="6" t="s">
        <v>101</v>
      </c>
      <c r="E2" s="6" t="s">
        <v>102</v>
      </c>
      <c r="F2" s="6" t="s">
        <v>103</v>
      </c>
      <c r="G2" s="6" t="s">
        <v>104</v>
      </c>
      <c r="H2" s="6" t="s">
        <v>105</v>
      </c>
      <c r="I2" s="6" t="s">
        <v>106</v>
      </c>
      <c r="J2" s="5" t="s">
        <v>107</v>
      </c>
    </row>
    <row r="3" spans="1:11" ht="14.25">
      <c r="A3" s="5">
        <v>0</v>
      </c>
      <c r="B3" s="7">
        <f>'A1计算'!H3</f>
        <v>0</v>
      </c>
      <c r="C3" s="7"/>
      <c r="D3" s="7">
        <f>'A3计算'!E3</f>
        <v>18.37549979999998</v>
      </c>
      <c r="E3" s="7">
        <f>'A4计算'!E3</f>
        <v>0</v>
      </c>
      <c r="F3" s="7"/>
      <c r="G3" s="7">
        <f>'A6计算'!F3</f>
        <v>0</v>
      </c>
      <c r="H3" s="7">
        <f>'A7计算'!J3</f>
        <v>0</v>
      </c>
      <c r="I3" s="7">
        <f>'A8计算'!D3</f>
        <v>2.771429046061224</v>
      </c>
      <c r="J3" s="7">
        <f>B3+C3+D3+E3+F3+G3+H3+I4</f>
        <v>21.146928846061204</v>
      </c>
      <c r="K3" s="13"/>
    </row>
    <row r="4" spans="1:11" ht="14.25">
      <c r="A4" s="5">
        <v>1</v>
      </c>
      <c r="B4" s="7">
        <f>'A1计算'!H4</f>
        <v>2.7318970454484424</v>
      </c>
      <c r="C4" s="7"/>
      <c r="D4" s="7">
        <f>'A3计算'!E4</f>
        <v>45.546062422800794</v>
      </c>
      <c r="E4" s="7">
        <f>'A4计算'!E4</f>
        <v>0</v>
      </c>
      <c r="F4" s="7"/>
      <c r="G4" s="7">
        <f>'A6计算'!F4</f>
        <v>28.69757284959277</v>
      </c>
      <c r="H4" s="7">
        <f>'A7计算'!J4</f>
        <v>39.65073123160587</v>
      </c>
      <c r="I4" s="7">
        <f>'A8计算'!D4</f>
        <v>2.771429046061224</v>
      </c>
      <c r="J4" s="7">
        <f aca="true" t="shared" si="0" ref="J4:J34">B4+C4+D4+E4+F4+G4+H4+I5</f>
        <v>119.39769259550911</v>
      </c>
      <c r="K4" s="13"/>
    </row>
    <row r="5" spans="1:11" ht="15.75">
      <c r="A5" s="6" t="s">
        <v>158</v>
      </c>
      <c r="B5" s="7">
        <f>'A1计算'!H5</f>
        <v>4.403218578207072</v>
      </c>
      <c r="C5" s="7"/>
      <c r="D5" s="7">
        <f>'A3计算'!E5</f>
        <v>83.75682905088215</v>
      </c>
      <c r="E5" s="7">
        <f>'A4计算'!E5</f>
        <v>0</v>
      </c>
      <c r="F5" s="7"/>
      <c r="G5" s="7">
        <f>'A6计算'!F5</f>
        <v>63.30481414689391</v>
      </c>
      <c r="H5" s="7">
        <f>'A7计算'!J5</f>
        <v>41.50174599456712</v>
      </c>
      <c r="I5" s="7">
        <f>'A8计算'!D5</f>
        <v>2.771429046061224</v>
      </c>
      <c r="J5" s="7">
        <f t="shared" si="0"/>
        <v>195.7380368166115</v>
      </c>
      <c r="K5" s="13"/>
    </row>
    <row r="6" spans="1:11" ht="14.25">
      <c r="A6" s="5">
        <v>2</v>
      </c>
      <c r="B6" s="7">
        <f>'A1计算'!H6</f>
        <v>6.553884874171256</v>
      </c>
      <c r="C6" s="7"/>
      <c r="D6" s="7">
        <f>'A3计算'!E6</f>
        <v>138.47335827061985</v>
      </c>
      <c r="E6" s="7">
        <f>'A4计算'!E6</f>
        <v>0</v>
      </c>
      <c r="F6" s="7"/>
      <c r="G6" s="7">
        <f>'A6计算'!F6</f>
        <v>90.70207975078714</v>
      </c>
      <c r="H6" s="7">
        <f>'A7计算'!J6</f>
        <v>40.07035756403793</v>
      </c>
      <c r="I6" s="7">
        <f>'A8计算'!D6</f>
        <v>2.771429046061224</v>
      </c>
      <c r="J6" s="7">
        <f t="shared" si="0"/>
        <v>278.5711095056774</v>
      </c>
      <c r="K6" s="13"/>
    </row>
    <row r="7" spans="1:11" ht="14.25">
      <c r="A7" s="5">
        <v>3</v>
      </c>
      <c r="B7" s="7">
        <f>'A1计算'!H7</f>
        <v>10.564057656843687</v>
      </c>
      <c r="C7" s="7"/>
      <c r="D7" s="7">
        <f>'A3计算'!E7</f>
        <v>203.37155462198615</v>
      </c>
      <c r="E7" s="7">
        <f>'A4计算'!E7</f>
        <v>0</v>
      </c>
      <c r="F7" s="7"/>
      <c r="G7" s="7">
        <f>'A6计算'!F7</f>
        <v>149.36054913886795</v>
      </c>
      <c r="H7" s="7">
        <f>'A7计算'!J7</f>
        <v>48.012419595747026</v>
      </c>
      <c r="I7" s="7">
        <f>'A8计算'!D7</f>
        <v>2.771429046061224</v>
      </c>
      <c r="J7" s="7">
        <f t="shared" si="0"/>
        <v>414.08001005950604</v>
      </c>
      <c r="K7" s="13"/>
    </row>
    <row r="8" spans="1:11" ht="14.25">
      <c r="A8" s="5">
        <v>4</v>
      </c>
      <c r="B8" s="7">
        <f>'A1计算'!H8</f>
        <v>3.1825515935948903</v>
      </c>
      <c r="C8" s="7"/>
      <c r="D8" s="7">
        <f>'A3计算'!E8</f>
        <v>228.2932385378222</v>
      </c>
      <c r="E8" s="7">
        <f>'A4计算'!E8</f>
        <v>0</v>
      </c>
      <c r="F8" s="7"/>
      <c r="G8" s="7">
        <f>'A6计算'!F8</f>
        <v>225.3383079706022</v>
      </c>
      <c r="H8" s="7">
        <f>'A7计算'!J8</f>
        <v>41.61630420980469</v>
      </c>
      <c r="I8" s="7">
        <f>'A8计算'!D8</f>
        <v>2.771429046061224</v>
      </c>
      <c r="J8" s="7">
        <f t="shared" si="0"/>
        <v>501.20183135788517</v>
      </c>
      <c r="K8" s="13"/>
    </row>
    <row r="9" spans="1:11" ht="14.25">
      <c r="A9" s="5">
        <v>5</v>
      </c>
      <c r="B9" s="7">
        <f>'A1计算'!H9</f>
        <v>3.4577099360283774</v>
      </c>
      <c r="C9" s="7"/>
      <c r="D9" s="7">
        <f>'A3计算'!E9</f>
        <v>255.1206867475979</v>
      </c>
      <c r="E9" s="7">
        <f>'A4计算'!E9</f>
        <v>0</v>
      </c>
      <c r="F9" s="7"/>
      <c r="G9" s="7">
        <f>'A6计算'!F9</f>
        <v>252.3879825068364</v>
      </c>
      <c r="H9" s="7">
        <f>'A7计算'!J9</f>
        <v>45.21438359605052</v>
      </c>
      <c r="I9" s="7">
        <f>'A8计算'!D9</f>
        <v>2.771429046061224</v>
      </c>
      <c r="J9" s="7">
        <f t="shared" si="0"/>
        <v>558.9521918325744</v>
      </c>
      <c r="K9" s="13"/>
    </row>
    <row r="10" spans="1:11" ht="14.25">
      <c r="A10" s="5">
        <v>6</v>
      </c>
      <c r="B10" s="7">
        <f>'A1计算'!H10</f>
        <v>20.506194638158316</v>
      </c>
      <c r="C10" s="7"/>
      <c r="D10" s="7">
        <f>'A3计算'!E10</f>
        <v>316.9529159167227</v>
      </c>
      <c r="E10" s="7">
        <f>'A4计算'!E10</f>
        <v>0</v>
      </c>
      <c r="F10" s="7"/>
      <c r="G10" s="7">
        <f>'A6计算'!F10</f>
        <v>273.64558348284817</v>
      </c>
      <c r="H10" s="7">
        <f>'A7计算'!J10</f>
        <v>98.38685885464021</v>
      </c>
      <c r="I10" s="7">
        <f>'A8计算'!D10</f>
        <v>2.771429046061224</v>
      </c>
      <c r="J10" s="7">
        <f t="shared" si="0"/>
        <v>712.2629819384306</v>
      </c>
      <c r="K10" s="13"/>
    </row>
    <row r="11" spans="1:11" ht="14.25">
      <c r="A11" s="5">
        <v>7</v>
      </c>
      <c r="B11" s="7">
        <f>'A1计算'!H11</f>
        <v>6.733936352393468</v>
      </c>
      <c r="C11" s="7"/>
      <c r="D11" s="7">
        <f>'A3计算'!E11</f>
        <v>363.9681552682437</v>
      </c>
      <c r="E11" s="7">
        <f>'A4计算'!E11</f>
        <v>0</v>
      </c>
      <c r="F11" s="7"/>
      <c r="G11" s="7">
        <f>'A6计算'!F11</f>
        <v>355.41247806826857</v>
      </c>
      <c r="H11" s="7">
        <f>'A7计算'!J11</f>
        <v>64.66718272850157</v>
      </c>
      <c r="I11" s="7">
        <f>'A8计算'!D11</f>
        <v>2.771429046061224</v>
      </c>
      <c r="J11" s="7">
        <f t="shared" si="0"/>
        <v>793.5531814634685</v>
      </c>
      <c r="K11" s="13"/>
    </row>
    <row r="12" spans="1:11" ht="14.25">
      <c r="A12" s="5">
        <v>8</v>
      </c>
      <c r="B12" s="7">
        <f>'A1计算'!H12</f>
        <v>6.734613105183465</v>
      </c>
      <c r="C12" s="7"/>
      <c r="D12" s="7">
        <f>'A3计算'!E12</f>
        <v>408.0429824173019</v>
      </c>
      <c r="E12" s="7">
        <f>'A4计算'!E12</f>
        <v>0</v>
      </c>
      <c r="F12" s="7"/>
      <c r="G12" s="7">
        <f>'A6计算'!F12</f>
        <v>405.427808085453</v>
      </c>
      <c r="H12" s="7">
        <f>'A7计算'!J12</f>
        <v>64.67368170533216</v>
      </c>
      <c r="I12" s="7">
        <f>'A8计算'!D12</f>
        <v>2.771429046061224</v>
      </c>
      <c r="J12" s="7">
        <f t="shared" si="0"/>
        <v>887.6505143593319</v>
      </c>
      <c r="K12" s="13"/>
    </row>
    <row r="13" spans="1:11" ht="14.25">
      <c r="A13" s="5">
        <v>9</v>
      </c>
      <c r="B13" s="7">
        <f>'A1计算'!H13</f>
        <v>5.328197761607948</v>
      </c>
      <c r="C13" s="7"/>
      <c r="D13" s="7">
        <f>'A3计算'!E13</f>
        <v>447.8740674018919</v>
      </c>
      <c r="E13" s="7">
        <f>'A4计算'!E13</f>
        <v>0</v>
      </c>
      <c r="F13" s="7"/>
      <c r="G13" s="7">
        <f>'A6计算'!F13</f>
        <v>448.99401540857633</v>
      </c>
      <c r="H13" s="7">
        <f>'A7计算'!J13</f>
        <v>51.16762621925083</v>
      </c>
      <c r="I13" s="7">
        <f>'A8计算'!D13</f>
        <v>2.771429046061224</v>
      </c>
      <c r="J13" s="7">
        <f t="shared" si="0"/>
        <v>956.1353358373882</v>
      </c>
      <c r="K13" s="13"/>
    </row>
    <row r="14" spans="1:11" ht="14.25">
      <c r="A14" s="5">
        <v>10</v>
      </c>
      <c r="B14" s="7">
        <f>'A1计算'!H14</f>
        <v>36.09746162502834</v>
      </c>
      <c r="C14" s="7"/>
      <c r="D14" s="7">
        <f>'A3计算'!E14</f>
        <v>532.6251837664266</v>
      </c>
      <c r="E14" s="7">
        <f>'A4计算'!E14</f>
        <v>0</v>
      </c>
      <c r="F14" s="7"/>
      <c r="G14" s="7">
        <f>'A6计算'!F14</f>
        <v>479.6881287281447</v>
      </c>
      <c r="H14" s="7">
        <f>'A7计算'!J14</f>
        <v>126.62441451160262</v>
      </c>
      <c r="I14" s="7">
        <f>'A8计算'!D14</f>
        <v>2.771429046061224</v>
      </c>
      <c r="J14" s="7">
        <f t="shared" si="0"/>
        <v>1177.8066176772636</v>
      </c>
      <c r="K14" s="13"/>
    </row>
    <row r="15" spans="1:11" ht="14.25">
      <c r="A15" s="5">
        <v>11</v>
      </c>
      <c r="B15" s="7">
        <f>'A1计算'!H15</f>
        <v>60.73882119782445</v>
      </c>
      <c r="C15" s="7"/>
      <c r="D15" s="7">
        <f>'A3计算'!E15</f>
        <v>679.9338402508272</v>
      </c>
      <c r="E15" s="7">
        <f>'A4计算'!E15</f>
        <v>0</v>
      </c>
      <c r="F15" s="7"/>
      <c r="G15" s="7">
        <f>'A6计算'!F15</f>
        <v>572.2718312132132</v>
      </c>
      <c r="H15" s="7">
        <f>'A7计算'!J15</f>
        <v>80.43607770338964</v>
      </c>
      <c r="I15" s="7">
        <f>'A8计算'!D15</f>
        <v>2.771429046061224</v>
      </c>
      <c r="J15" s="7">
        <f t="shared" si="0"/>
        <v>1396.1519994113157</v>
      </c>
      <c r="K15" s="13"/>
    </row>
    <row r="16" spans="1:11" ht="14.25">
      <c r="A16" s="5">
        <v>12</v>
      </c>
      <c r="B16" s="7">
        <f>'A1计算'!H16</f>
        <v>77.72856545957566</v>
      </c>
      <c r="C16" s="7"/>
      <c r="D16" s="7">
        <f>'A3计算'!E16</f>
        <v>841.683489929416</v>
      </c>
      <c r="E16" s="7">
        <f>'A4计算'!E16</f>
        <v>0</v>
      </c>
      <c r="F16" s="7"/>
      <c r="G16" s="7">
        <f>'A6计算'!F16</f>
        <v>731.4969702706161</v>
      </c>
      <c r="H16" s="7">
        <f>'A7计算'!J16</f>
        <v>84.11309547974497</v>
      </c>
      <c r="I16" s="7">
        <f>'A8计算'!D16</f>
        <v>2.771429046061224</v>
      </c>
      <c r="J16" s="7">
        <f t="shared" si="0"/>
        <v>1737.793550185414</v>
      </c>
      <c r="K16" s="13"/>
    </row>
    <row r="17" spans="1:11" ht="14.25">
      <c r="A17" s="5">
        <v>13</v>
      </c>
      <c r="B17" s="7">
        <f>'A1计算'!H17</f>
        <v>64.25618849967285</v>
      </c>
      <c r="C17" s="7"/>
      <c r="D17" s="7">
        <f>'A3计算'!E17</f>
        <v>959.6259799431912</v>
      </c>
      <c r="E17" s="7">
        <f>'A4计算'!E17</f>
        <v>0</v>
      </c>
      <c r="F17" s="7"/>
      <c r="G17" s="7">
        <f>'A6计算'!F17</f>
        <v>904.6740824806703</v>
      </c>
      <c r="H17" s="7">
        <f>'A7计算'!J17</f>
        <v>59.65812968854614</v>
      </c>
      <c r="I17" s="7">
        <f>'A8计算'!D17</f>
        <v>2.771429046061224</v>
      </c>
      <c r="J17" s="7">
        <f t="shared" si="0"/>
        <v>1990.9858096581415</v>
      </c>
      <c r="K17" s="13"/>
    </row>
    <row r="18" spans="1:11" ht="14.25">
      <c r="A18" s="5">
        <v>14</v>
      </c>
      <c r="B18" s="7">
        <f>'A1计算'!H18</f>
        <v>96.08053605884093</v>
      </c>
      <c r="C18" s="7"/>
      <c r="D18" s="7">
        <f>'A3计算'!E18</f>
        <v>1109.6147632901054</v>
      </c>
      <c r="E18" s="7">
        <f>'A4计算'!E18</f>
        <v>0</v>
      </c>
      <c r="F18" s="7"/>
      <c r="G18" s="7">
        <f>'A6计算'!F18</f>
        <v>1030.7275871348363</v>
      </c>
      <c r="H18" s="7">
        <f>'A7计算'!J18</f>
        <v>87.88709357240269</v>
      </c>
      <c r="I18" s="7">
        <f>'A8计算'!D18</f>
        <v>2.771429046061224</v>
      </c>
      <c r="J18" s="7">
        <f t="shared" si="0"/>
        <v>2327.081409102246</v>
      </c>
      <c r="K18" s="13"/>
    </row>
    <row r="19" spans="1:11" ht="14.25">
      <c r="A19" s="5">
        <v>15</v>
      </c>
      <c r="B19" s="7">
        <f>'A1计算'!H19</f>
        <v>147.14482821016077</v>
      </c>
      <c r="C19" s="7"/>
      <c r="D19" s="7">
        <f>'A3计算'!E19</f>
        <v>1237.2860148124194</v>
      </c>
      <c r="E19" s="7">
        <f>'A4计算'!E19</f>
        <v>0</v>
      </c>
      <c r="F19" s="7"/>
      <c r="G19" s="7">
        <f>'A6计算'!F19</f>
        <v>1189.9380144320573</v>
      </c>
      <c r="H19" s="7">
        <f>'A7计算'!J19</f>
        <v>182.73255231785996</v>
      </c>
      <c r="I19" s="7">
        <f>'A8计算'!D19</f>
        <v>2.771429046061224</v>
      </c>
      <c r="J19" s="7">
        <f t="shared" si="0"/>
        <v>2759.872838818559</v>
      </c>
      <c r="K19" s="13"/>
    </row>
    <row r="20" spans="1:11" ht="14.25">
      <c r="A20" s="5">
        <v>16</v>
      </c>
      <c r="B20" s="7">
        <f>'A1计算'!H20</f>
        <v>16.192420524190123</v>
      </c>
      <c r="C20" s="7"/>
      <c r="D20" s="7">
        <f>'A3计算'!E20</f>
        <v>1300.5904509306342</v>
      </c>
      <c r="E20" s="7">
        <f>'A4计算'!E20</f>
        <v>0</v>
      </c>
      <c r="F20" s="7"/>
      <c r="G20" s="7">
        <f>'A6计算'!F20</f>
        <v>1323.8321447427734</v>
      </c>
      <c r="H20" s="7">
        <f>'A7计算'!J20</f>
        <v>46.70913607929161</v>
      </c>
      <c r="I20" s="7">
        <f>'A8计算'!D20</f>
        <v>2.771429046061224</v>
      </c>
      <c r="J20" s="7">
        <f t="shared" si="0"/>
        <v>2690.0955813229502</v>
      </c>
      <c r="K20" s="13"/>
    </row>
    <row r="21" spans="1:11" ht="14.25">
      <c r="A21" s="5">
        <v>17</v>
      </c>
      <c r="B21" s="7">
        <f>'A1计算'!H21</f>
        <v>108.65467195323833</v>
      </c>
      <c r="C21" s="7"/>
      <c r="D21" s="7">
        <f>'A3计算'!E21</f>
        <v>1442.1126238460572</v>
      </c>
      <c r="E21" s="7">
        <f>'A4计算'!E21</f>
        <v>0</v>
      </c>
      <c r="F21" s="7"/>
      <c r="G21" s="7">
        <f>'A6计算'!F21</f>
        <v>1391.8957326373074</v>
      </c>
      <c r="H21" s="7">
        <f>'A7计算'!J21</f>
        <v>117.69672082628705</v>
      </c>
      <c r="I21" s="7">
        <f>'A8计算'!D21</f>
        <v>2.771429046061224</v>
      </c>
      <c r="J21" s="7">
        <f t="shared" si="0"/>
        <v>3063.1311783089513</v>
      </c>
      <c r="K21" s="13"/>
    </row>
    <row r="22" spans="1:11" ht="14.25">
      <c r="A22" s="5">
        <v>18</v>
      </c>
      <c r="B22" s="7">
        <f>'A1计算'!H22</f>
        <v>162.8338044182086</v>
      </c>
      <c r="C22" s="7"/>
      <c r="D22" s="7">
        <f>'A3计算'!E22</f>
        <v>1664.6794022260276</v>
      </c>
      <c r="E22" s="7">
        <f>'A4计算'!E22</f>
        <v>0</v>
      </c>
      <c r="F22" s="7"/>
      <c r="G22" s="7">
        <f>'A6计算'!F22</f>
        <v>1544.8536171137912</v>
      </c>
      <c r="H22" s="7">
        <f>'A7计算'!J22</f>
        <v>140.44436217461669</v>
      </c>
      <c r="I22" s="7">
        <f>'A8计算'!D22</f>
        <v>2.771429046061224</v>
      </c>
      <c r="J22" s="7">
        <f t="shared" si="0"/>
        <v>3515.5826149787054</v>
      </c>
      <c r="K22" s="13"/>
    </row>
    <row r="23" spans="1:11" ht="14.25">
      <c r="A23" s="5">
        <v>19</v>
      </c>
      <c r="B23" s="7">
        <f>'A1计算'!H23</f>
        <v>42.647520560639606</v>
      </c>
      <c r="C23" s="7"/>
      <c r="D23" s="7">
        <f>'A3计算'!E23</f>
        <v>1725.7954951591742</v>
      </c>
      <c r="E23" s="7">
        <f>'A4计算'!E23</f>
        <v>0</v>
      </c>
      <c r="F23" s="7"/>
      <c r="G23" s="7">
        <f>'A6计算'!F23</f>
        <v>1780.8424216753149</v>
      </c>
      <c r="H23" s="7">
        <f>'A7计算'!J23</f>
        <v>155.59027660496074</v>
      </c>
      <c r="I23" s="7">
        <f>'A8计算'!D23</f>
        <v>2.771429046061224</v>
      </c>
      <c r="J23" s="7">
        <f t="shared" si="0"/>
        <v>3707.6471430461506</v>
      </c>
      <c r="K23" s="13"/>
    </row>
    <row r="24" spans="1:11" ht="14.25">
      <c r="A24" s="5">
        <v>20</v>
      </c>
      <c r="B24" s="7">
        <f>'A1计算'!H24</f>
        <v>27.985130194971116</v>
      </c>
      <c r="C24" s="7"/>
      <c r="D24" s="7">
        <f>'A3计算'!E24</f>
        <v>1766.2251933434366</v>
      </c>
      <c r="E24" s="7">
        <f>'A4计算'!E24</f>
        <v>0</v>
      </c>
      <c r="F24" s="7"/>
      <c r="G24" s="7">
        <f>'A6计算'!F24</f>
        <v>1843.4526494942222</v>
      </c>
      <c r="H24" s="7">
        <f>'A7计算'!J24</f>
        <v>168.3468393742577</v>
      </c>
      <c r="I24" s="7">
        <f>'A8计算'!D24</f>
        <v>2.771429046061224</v>
      </c>
      <c r="J24" s="7">
        <f t="shared" si="0"/>
        <v>3808.781241452949</v>
      </c>
      <c r="K24" s="13"/>
    </row>
    <row r="25" spans="1:11" ht="14.25">
      <c r="A25" s="5">
        <v>21</v>
      </c>
      <c r="B25" s="7">
        <f>'A1计算'!H25</f>
        <v>75.76786727869838</v>
      </c>
      <c r="C25" s="7"/>
      <c r="D25" s="7">
        <f>'A3计算'!E25</f>
        <v>1853.9020239296242</v>
      </c>
      <c r="E25" s="7">
        <f>'A4计算'!E25</f>
        <v>0</v>
      </c>
      <c r="F25" s="7"/>
      <c r="G25" s="7">
        <f>'A6计算'!F25</f>
        <v>1887.3120571189907</v>
      </c>
      <c r="H25" s="7">
        <f>'A7计算'!J25</f>
        <v>184.42622298044148</v>
      </c>
      <c r="I25" s="7">
        <f>'A8计算'!D25</f>
        <v>2.771429046061224</v>
      </c>
      <c r="J25" s="7">
        <f t="shared" si="0"/>
        <v>4004.179600353816</v>
      </c>
      <c r="K25" s="13"/>
    </row>
    <row r="26" spans="1:11" ht="14.25">
      <c r="A26" s="5">
        <v>22</v>
      </c>
      <c r="B26" s="7">
        <f>'A1计算'!H26</f>
        <v>71.94359747557961</v>
      </c>
      <c r="C26" s="7"/>
      <c r="D26" s="7">
        <f>'A3计算'!E26</f>
        <v>1938.0132499732877</v>
      </c>
      <c r="E26" s="7">
        <f>'A4计算'!E26</f>
        <v>0</v>
      </c>
      <c r="F26" s="7"/>
      <c r="G26" s="7">
        <f>'A6计算'!F26</f>
        <v>1982.2880880063283</v>
      </c>
      <c r="H26" s="7">
        <f>'A7计算'!J26</f>
        <v>90.95350105655237</v>
      </c>
      <c r="I26" s="7">
        <f>'A8计算'!D26</f>
        <v>2.771429046061224</v>
      </c>
      <c r="J26" s="7">
        <f t="shared" si="0"/>
        <v>4085.969865557809</v>
      </c>
      <c r="K26" s="13"/>
    </row>
    <row r="27" spans="1:11" ht="14.25">
      <c r="A27" s="5">
        <v>23</v>
      </c>
      <c r="B27" s="7">
        <f>'A1计算'!H27</f>
        <v>94.71547233002435</v>
      </c>
      <c r="C27" s="7"/>
      <c r="D27" s="7">
        <f>'A3计算'!E27</f>
        <v>2038.1186583572169</v>
      </c>
      <c r="E27" s="7">
        <f>'A4计算'!E27</f>
        <v>0</v>
      </c>
      <c r="F27" s="7"/>
      <c r="G27" s="7">
        <f>'A6计算'!F27</f>
        <v>2073.0145222106826</v>
      </c>
      <c r="H27" s="7">
        <f>'A7计算'!J27</f>
        <v>107.99703558247566</v>
      </c>
      <c r="I27" s="7">
        <f>'A8计算'!D27</f>
        <v>2.771429046061224</v>
      </c>
      <c r="J27" s="7">
        <f t="shared" si="0"/>
        <v>4316.61711752646</v>
      </c>
      <c r="K27" s="13"/>
    </row>
    <row r="28" spans="1:11" ht="14.25">
      <c r="A28" s="5">
        <v>24</v>
      </c>
      <c r="B28" s="7">
        <f>'A1计算'!H28</f>
        <v>152.0814971211069</v>
      </c>
      <c r="C28" s="7"/>
      <c r="D28" s="7">
        <f>'A3计算'!E28</f>
        <v>2183.879767763291</v>
      </c>
      <c r="E28" s="7">
        <f>'A4计算'!E28</f>
        <v>0</v>
      </c>
      <c r="F28" s="7"/>
      <c r="G28" s="7">
        <f>'A6计算'!F28</f>
        <v>2180.0288395690936</v>
      </c>
      <c r="H28" s="7">
        <f>'A7计算'!J28</f>
        <v>166.64181479532778</v>
      </c>
      <c r="I28" s="7">
        <f>'A8计算'!D28</f>
        <v>2.771429046061224</v>
      </c>
      <c r="J28" s="7">
        <f t="shared" si="0"/>
        <v>4685.403348294881</v>
      </c>
      <c r="K28" s="13"/>
    </row>
    <row r="29" spans="1:11" ht="14.25">
      <c r="A29" s="5">
        <v>25</v>
      </c>
      <c r="B29" s="7">
        <f>'A1计算'!H29</f>
        <v>137.1569265128446</v>
      </c>
      <c r="C29" s="7"/>
      <c r="D29" s="7">
        <f>'A3计算'!E29</f>
        <v>2316.263207104338</v>
      </c>
      <c r="E29" s="7">
        <f>'A4计算'!E29</f>
        <v>0</v>
      </c>
      <c r="F29" s="7"/>
      <c r="G29" s="7">
        <f>'A6计算'!F29</f>
        <v>2335.761909899125</v>
      </c>
      <c r="H29" s="7">
        <f>'A7计算'!J29</f>
        <v>143.5986933159253</v>
      </c>
      <c r="I29" s="7">
        <f>'A8计算'!D29</f>
        <v>2.771429046061224</v>
      </c>
      <c r="J29" s="7">
        <f t="shared" si="0"/>
        <v>4935.5521658782945</v>
      </c>
      <c r="K29" s="13"/>
    </row>
    <row r="30" spans="1:11" ht="14.25">
      <c r="A30" s="5">
        <v>26</v>
      </c>
      <c r="B30" s="7">
        <f>'A1计算'!H30</f>
        <v>117.1371890338545</v>
      </c>
      <c r="C30" s="7"/>
      <c r="D30" s="7">
        <f>'A3计算'!E30</f>
        <v>2428.0258049223044</v>
      </c>
      <c r="E30" s="7">
        <f>'A4计算'!E30</f>
        <v>0</v>
      </c>
      <c r="F30" s="7"/>
      <c r="G30" s="7">
        <f>'A6计算'!F30</f>
        <v>2476.781127080909</v>
      </c>
      <c r="H30" s="7">
        <f>'A7计算'!J30</f>
        <v>152.44486360495014</v>
      </c>
      <c r="I30" s="7">
        <f>'A8计算'!D30</f>
        <v>2.771429046061224</v>
      </c>
      <c r="J30" s="7">
        <f t="shared" si="0"/>
        <v>5177.160413688079</v>
      </c>
      <c r="K30" s="13"/>
    </row>
    <row r="31" spans="1:10" ht="14.25">
      <c r="A31" s="5">
        <v>27</v>
      </c>
      <c r="B31" s="7">
        <f>'A1计算'!H31</f>
        <v>58.64880595338519</v>
      </c>
      <c r="C31" s="7"/>
      <c r="D31" s="7">
        <f>'A3计算'!E31</f>
        <v>2535.0940855039694</v>
      </c>
      <c r="E31" s="7">
        <f>'A4计算'!E31</f>
        <v>0</v>
      </c>
      <c r="F31" s="40"/>
      <c r="G31" s="7">
        <f>'A6计算'!F31</f>
        <v>2595.299699683304</v>
      </c>
      <c r="H31" s="7">
        <f>'A7计算'!J31</f>
        <v>93.98359008347718</v>
      </c>
      <c r="I31" s="7">
        <f>'A8计算'!D31</f>
        <v>2.771429046061224</v>
      </c>
      <c r="J31" s="7">
        <f t="shared" si="0"/>
        <v>5285.806471748304</v>
      </c>
    </row>
    <row r="32" spans="1:10" ht="14.25">
      <c r="A32" s="5">
        <v>28</v>
      </c>
      <c r="B32" s="7">
        <f>'A1计算'!H32</f>
        <v>109.99561762703075</v>
      </c>
      <c r="C32" s="7">
        <f>'A1计算'!G37</f>
        <v>706.7419586581501</v>
      </c>
      <c r="D32" s="7">
        <f>'A3计算'!E32</f>
        <v>660.806641325041</v>
      </c>
      <c r="E32" s="7">
        <f>'A4计算'!E32</f>
        <v>1985.6371425165005</v>
      </c>
      <c r="F32" s="40"/>
      <c r="G32" s="7">
        <f>'A6计算'!F32</f>
        <v>1355.2117812648712</v>
      </c>
      <c r="H32" s="7">
        <f>'A7计算'!J32</f>
        <v>101.1844972724935</v>
      </c>
      <c r="I32" s="7">
        <f>'A8计算'!D32</f>
        <v>2.7802905241683673</v>
      </c>
      <c r="J32" s="7">
        <f t="shared" si="0"/>
        <v>4922.357929188256</v>
      </c>
    </row>
    <row r="33" spans="1:10" ht="14.25">
      <c r="A33" s="40" t="s">
        <v>187</v>
      </c>
      <c r="B33" s="7">
        <f>'A1计算'!H33</f>
        <v>109.99561762703075</v>
      </c>
      <c r="C33" s="7">
        <f>'A1计算'!G38</f>
        <v>706.7419586581501</v>
      </c>
      <c r="D33" s="7">
        <f>'A3计算'!E33</f>
        <v>660.806641325041</v>
      </c>
      <c r="E33" s="7">
        <f>'A4计算'!E33</f>
        <v>1985.6371425165005</v>
      </c>
      <c r="F33" s="40"/>
      <c r="G33" s="7">
        <f>'A6计算'!F33</f>
        <v>1412.0086346784003</v>
      </c>
      <c r="H33" s="7">
        <f>'A7计算'!J33</f>
        <v>68.24807249521862</v>
      </c>
      <c r="I33" s="7">
        <f>'A8计算'!D33</f>
        <v>2.7802905241683673</v>
      </c>
      <c r="J33" s="7">
        <f t="shared" si="0"/>
        <v>4946.218357824509</v>
      </c>
    </row>
    <row r="34" spans="1:10" ht="14.25">
      <c r="A34" s="41">
        <v>29</v>
      </c>
      <c r="B34" s="7">
        <f>'A1计算'!H34</f>
        <v>10.956032984659107</v>
      </c>
      <c r="C34" s="7">
        <f>'A1计算'!G38</f>
        <v>706.7419586581501</v>
      </c>
      <c r="D34" s="7">
        <f>'A3计算'!E34</f>
        <v>661.0173891919602</v>
      </c>
      <c r="E34" s="7">
        <f>'A4计算'!E34</f>
        <v>0</v>
      </c>
      <c r="F34" s="40"/>
      <c r="G34" s="7">
        <f>'A6计算'!F34</f>
        <v>1413.4839704879726</v>
      </c>
      <c r="H34" s="7">
        <f>'A7计算'!J34</f>
        <v>7.862290569401721</v>
      </c>
      <c r="I34" s="7">
        <f>'A8计算'!D34</f>
        <v>2.7802905241683673</v>
      </c>
      <c r="J34" s="7">
        <f t="shared" si="0"/>
        <v>2800.0616418921436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L7" sqref="L7"/>
    </sheetView>
  </sheetViews>
  <sheetFormatPr defaultColWidth="9.00390625" defaultRowHeight="14.25"/>
  <cols>
    <col min="2" max="2" width="9.125" style="0" bestFit="1" customWidth="1"/>
    <col min="4" max="4" width="10.50390625" style="0" bestFit="1" customWidth="1"/>
    <col min="5" max="5" width="9.125" style="0" bestFit="1" customWidth="1"/>
    <col min="7" max="7" width="10.50390625" style="0" bestFit="1" customWidth="1"/>
    <col min="8" max="9" width="9.125" style="0" bestFit="1" customWidth="1"/>
    <col min="10" max="10" width="10.50390625" style="0" bestFit="1" customWidth="1"/>
  </cols>
  <sheetData>
    <row r="1" spans="1:10" ht="14.25">
      <c r="A1" s="52" t="s">
        <v>108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8.75">
      <c r="A2" s="5" t="s">
        <v>1</v>
      </c>
      <c r="B2" s="6" t="s">
        <v>109</v>
      </c>
      <c r="C2" s="6" t="s">
        <v>110</v>
      </c>
      <c r="D2" s="6" t="s">
        <v>111</v>
      </c>
      <c r="E2" s="6" t="s">
        <v>112</v>
      </c>
      <c r="F2" s="6" t="s">
        <v>113</v>
      </c>
      <c r="G2" s="6" t="s">
        <v>114</v>
      </c>
      <c r="H2" s="6" t="s">
        <v>115</v>
      </c>
      <c r="I2" s="6" t="s">
        <v>116</v>
      </c>
      <c r="J2" s="5" t="s">
        <v>117</v>
      </c>
    </row>
    <row r="3" spans="1:10" ht="14.25">
      <c r="A3" s="5">
        <v>0</v>
      </c>
      <c r="B3" s="7">
        <f>'A1计算'!I3</f>
        <v>2.7318970454484424</v>
      </c>
      <c r="C3" s="7"/>
      <c r="D3" s="7">
        <f>'A3计算'!F3</f>
        <v>-18.415376191911147</v>
      </c>
      <c r="E3" s="7">
        <f>'A4计算'!F3</f>
        <v>0</v>
      </c>
      <c r="F3" s="7"/>
      <c r="G3" s="7">
        <f>'A6计算'!G3</f>
        <v>-28.69757284959277</v>
      </c>
      <c r="H3" s="7">
        <f>'A7计算'!K3</f>
        <v>-39.65073123160587</v>
      </c>
      <c r="I3" s="7">
        <f>'A8计算'!E3</f>
        <v>-2.771429046061224</v>
      </c>
      <c r="J3" s="7">
        <f>B3+C3+D3+E3+F3+G3+H3+I3</f>
        <v>-86.80321227372258</v>
      </c>
    </row>
    <row r="4" spans="1:10" ht="14.25">
      <c r="A4" s="5">
        <v>1</v>
      </c>
      <c r="B4" s="7">
        <f>'A1计算'!I4</f>
        <v>4.403218578207072</v>
      </c>
      <c r="C4" s="7"/>
      <c r="D4" s="7">
        <f>'A3计算'!F4</f>
        <v>-45.68003494966369</v>
      </c>
      <c r="E4" s="7">
        <f>'A4计算'!F4</f>
        <v>0</v>
      </c>
      <c r="F4" s="7"/>
      <c r="G4" s="7">
        <f>'A6计算'!G4</f>
        <v>-63.30481414689391</v>
      </c>
      <c r="H4" s="7">
        <f>'A7计算'!K4</f>
        <v>-41.50174599456712</v>
      </c>
      <c r="I4" s="7">
        <f>'A8计算'!E4</f>
        <v>-2.771429046061224</v>
      </c>
      <c r="J4" s="7">
        <f aca="true" t="shared" si="0" ref="J4:J34">B4+C4+D4+E4+F4+G4+H4+I4</f>
        <v>-148.85480555897888</v>
      </c>
    </row>
    <row r="5" spans="1:10" ht="15.75">
      <c r="A5" s="6" t="s">
        <v>158</v>
      </c>
      <c r="B5" s="7">
        <f>'A1计算'!I5</f>
        <v>0.3520801984539817</v>
      </c>
      <c r="C5" s="7"/>
      <c r="D5" s="7">
        <f>'A3计算'!F5</f>
        <v>-84.07199922737425</v>
      </c>
      <c r="E5" s="7">
        <f>'A4计算'!F5</f>
        <v>0</v>
      </c>
      <c r="F5" s="7"/>
      <c r="G5" s="7">
        <f>'A6计算'!G5</f>
        <v>-90.70207975078714</v>
      </c>
      <c r="H5" s="7">
        <f>'A7计算'!K5</f>
        <v>-2.1526132536852725</v>
      </c>
      <c r="I5" s="7">
        <f>'A8计算'!E5</f>
        <v>-2.771429046061224</v>
      </c>
      <c r="J5" s="7">
        <f t="shared" si="0"/>
        <v>-179.3460410794539</v>
      </c>
    </row>
    <row r="6" spans="1:10" ht="14.25">
      <c r="A6" s="5">
        <v>2</v>
      </c>
      <c r="B6" s="7">
        <f>'A1计算'!I6</f>
        <v>0.5106122894699447</v>
      </c>
      <c r="C6" s="7"/>
      <c r="D6" s="7">
        <f>'A3计算'!F6</f>
        <v>-138.9554615674053</v>
      </c>
      <c r="E6" s="7">
        <f>'A4计算'!F6</f>
        <v>0</v>
      </c>
      <c r="F6" s="7"/>
      <c r="G6" s="7">
        <f>'A6计算'!G6</f>
        <v>-149.36054913886795</v>
      </c>
      <c r="H6" s="7">
        <f>'A7计算'!K6</f>
        <v>-2.3206737684637746</v>
      </c>
      <c r="I6" s="7">
        <f>'A8计算'!E6</f>
        <v>-2.771429046061224</v>
      </c>
      <c r="J6" s="7">
        <f t="shared" si="0"/>
        <v>-292.8975012313283</v>
      </c>
    </row>
    <row r="7" spans="1:10" ht="14.25">
      <c r="A7" s="5">
        <v>3</v>
      </c>
      <c r="B7" s="7">
        <f>'A1计算'!I7</f>
        <v>3.1825515935948903</v>
      </c>
      <c r="C7" s="7"/>
      <c r="D7" s="7">
        <f>'A3计算'!F7</f>
        <v>-203.66477447845656</v>
      </c>
      <c r="E7" s="7">
        <f>'A4计算'!F7</f>
        <v>0</v>
      </c>
      <c r="F7" s="7"/>
      <c r="G7" s="7">
        <f>'A6计算'!G7</f>
        <v>-225.3383079706022</v>
      </c>
      <c r="H7" s="7">
        <f>'A7计算'!K7</f>
        <v>-41.61630420980469</v>
      </c>
      <c r="I7" s="7">
        <f>'A8计算'!E7</f>
        <v>-2.771429046061224</v>
      </c>
      <c r="J7" s="7">
        <f t="shared" si="0"/>
        <v>-470.20826411132975</v>
      </c>
    </row>
    <row r="8" spans="1:10" ht="14.25">
      <c r="A8" s="5">
        <v>4</v>
      </c>
      <c r="B8" s="7">
        <f>'A1计算'!I8</f>
        <v>3.4577099360283774</v>
      </c>
      <c r="C8" s="7"/>
      <c r="D8" s="7">
        <f>'A3计算'!F8</f>
        <v>-228.35761974027287</v>
      </c>
      <c r="E8" s="7">
        <f>'A4计算'!F8</f>
        <v>0</v>
      </c>
      <c r="F8" s="7"/>
      <c r="G8" s="7">
        <f>'A6计算'!G8</f>
        <v>-252.3879825068364</v>
      </c>
      <c r="H8" s="7">
        <f>'A7计算'!K8</f>
        <v>-45.21438359605052</v>
      </c>
      <c r="I8" s="7">
        <f>'A8计算'!E8</f>
        <v>-2.771429046061224</v>
      </c>
      <c r="J8" s="7">
        <f t="shared" si="0"/>
        <v>-525.2737049531927</v>
      </c>
    </row>
    <row r="9" spans="1:10" ht="14.25">
      <c r="A9" s="5">
        <v>5</v>
      </c>
      <c r="B9" s="7">
        <f>'A1计算'!I9</f>
        <v>0.4848315929155186</v>
      </c>
      <c r="C9" s="7"/>
      <c r="D9" s="7">
        <f>'A3计算'!F9</f>
        <v>-255.38765656202492</v>
      </c>
      <c r="E9" s="7">
        <f>'A4计算'!F9</f>
        <v>0</v>
      </c>
      <c r="F9" s="7"/>
      <c r="G9" s="7">
        <f>'A6计算'!G9</f>
        <v>-273.64558348284817</v>
      </c>
      <c r="H9" s="7">
        <f>'A7计算'!K9</f>
        <v>-2.3261779351146155</v>
      </c>
      <c r="I9" s="7">
        <f>'A8计算'!E9</f>
        <v>-2.771429046061224</v>
      </c>
      <c r="J9" s="7">
        <f t="shared" si="0"/>
        <v>-533.6460154331335</v>
      </c>
    </row>
    <row r="10" spans="1:10" ht="14.25">
      <c r="A10" s="5">
        <v>6</v>
      </c>
      <c r="B10" s="7">
        <f>'A1计算'!I10</f>
        <v>6.733936352393468</v>
      </c>
      <c r="C10" s="7"/>
      <c r="D10" s="7">
        <f>'A3计算'!F10</f>
        <v>-317.24723435506473</v>
      </c>
      <c r="E10" s="7">
        <f>'A4计算'!F10</f>
        <v>0</v>
      </c>
      <c r="F10" s="7"/>
      <c r="G10" s="7">
        <f>'A6计算'!G10</f>
        <v>-355.41247806826857</v>
      </c>
      <c r="H10" s="7">
        <f>'A7计算'!K10</f>
        <v>-64.66718272850157</v>
      </c>
      <c r="I10" s="7">
        <f>'A8计算'!E10</f>
        <v>-2.771429046061224</v>
      </c>
      <c r="J10" s="7">
        <f t="shared" si="0"/>
        <v>-733.3643878455026</v>
      </c>
    </row>
    <row r="11" spans="1:10" ht="14.25">
      <c r="A11" s="5">
        <v>7</v>
      </c>
      <c r="B11" s="7">
        <f>'A1计算'!I11</f>
        <v>6.734613105183465</v>
      </c>
      <c r="C11" s="7"/>
      <c r="D11" s="7">
        <f>'A3计算'!F11</f>
        <v>-364.08723371852443</v>
      </c>
      <c r="E11" s="7">
        <f>'A4计算'!F11</f>
        <v>0</v>
      </c>
      <c r="F11" s="7"/>
      <c r="G11" s="7">
        <f>'A6计算'!G11</f>
        <v>-405.427808085453</v>
      </c>
      <c r="H11" s="7">
        <f>'A7计算'!K11</f>
        <v>-64.67368170533216</v>
      </c>
      <c r="I11" s="7">
        <f>'A8计算'!E11</f>
        <v>-2.771429046061224</v>
      </c>
      <c r="J11" s="7">
        <f t="shared" si="0"/>
        <v>-830.2255394501873</v>
      </c>
    </row>
    <row r="12" spans="1:10" ht="14.25">
      <c r="A12" s="5">
        <v>8</v>
      </c>
      <c r="B12" s="7">
        <f>'A1计算'!I12</f>
        <v>5.328197761607948</v>
      </c>
      <c r="C12" s="7"/>
      <c r="D12" s="7">
        <f>'A3计算'!F12</f>
        <v>-408.1620608675826</v>
      </c>
      <c r="E12" s="7">
        <f>'A4计算'!F12</f>
        <v>0</v>
      </c>
      <c r="F12" s="7"/>
      <c r="G12" s="7">
        <f>'A6计算'!G12</f>
        <v>-448.99401540857633</v>
      </c>
      <c r="H12" s="7">
        <f>'A7计算'!K12</f>
        <v>-51.16762621925083</v>
      </c>
      <c r="I12" s="7">
        <f>'A8计算'!E12</f>
        <v>-2.771429046061224</v>
      </c>
      <c r="J12" s="7">
        <f t="shared" si="0"/>
        <v>-905.766933779863</v>
      </c>
    </row>
    <row r="13" spans="1:10" ht="14.25">
      <c r="A13" s="5">
        <v>9</v>
      </c>
      <c r="B13" s="7">
        <f>'A1计算'!I13</f>
        <v>0.7078003044153048</v>
      </c>
      <c r="C13" s="7"/>
      <c r="D13" s="7">
        <f>'A3计算'!F13</f>
        <v>-448.2552884404776</v>
      </c>
      <c r="E13" s="7">
        <f>'A4计算'!F13</f>
        <v>0</v>
      </c>
      <c r="F13" s="7"/>
      <c r="G13" s="7">
        <f>'A6计算'!G13</f>
        <v>-479.6881287281447</v>
      </c>
      <c r="H13" s="7">
        <f>'A7计算'!K13</f>
        <v>-2.4828559988157264</v>
      </c>
      <c r="I13" s="7">
        <f>'A8计算'!E13</f>
        <v>-2.771429046061224</v>
      </c>
      <c r="J13" s="7">
        <f t="shared" si="0"/>
        <v>-932.489901909084</v>
      </c>
    </row>
    <row r="14" spans="1:10" ht="14.25">
      <c r="A14" s="5">
        <v>10</v>
      </c>
      <c r="B14" s="7">
        <f>'A1计算'!I14</f>
        <v>1.6199826956092245</v>
      </c>
      <c r="C14" s="7"/>
      <c r="D14" s="7">
        <f>'A3计算'!F14</f>
        <v>-534.8970801633735</v>
      </c>
      <c r="E14" s="7">
        <f>'A4计算'!F14</f>
        <v>0</v>
      </c>
      <c r="F14" s="7"/>
      <c r="G14" s="7">
        <f>'A6计算'!G14</f>
        <v>-572.2718312132132</v>
      </c>
      <c r="H14" s="7">
        <f>'A7计算'!K14</f>
        <v>-2.1453339299715855</v>
      </c>
      <c r="I14" s="7">
        <f>'A8计算'!E14</f>
        <v>-2.771429046061224</v>
      </c>
      <c r="J14" s="7">
        <f t="shared" si="0"/>
        <v>-1110.4656916570104</v>
      </c>
    </row>
    <row r="15" spans="1:10" ht="14.25">
      <c r="A15" s="5">
        <v>11</v>
      </c>
      <c r="B15" s="7">
        <f>'A1计算'!I15</f>
        <v>2.0652168201391095</v>
      </c>
      <c r="C15" s="7"/>
      <c r="D15" s="7">
        <f>'A3计算'!F15</f>
        <v>-684.1406879588787</v>
      </c>
      <c r="E15" s="7">
        <f>'A4计算'!F15</f>
        <v>0</v>
      </c>
      <c r="F15" s="7"/>
      <c r="G15" s="7">
        <f>'A6计算'!G15</f>
        <v>-731.4969702706161</v>
      </c>
      <c r="H15" s="7">
        <f>'A7计算'!K15</f>
        <v>-2.234851222991869</v>
      </c>
      <c r="I15" s="7">
        <f>'A8计算'!E15</f>
        <v>-2.771429046061224</v>
      </c>
      <c r="J15" s="7">
        <f t="shared" si="0"/>
        <v>-1418.5787216784088</v>
      </c>
    </row>
    <row r="16" spans="1:10" ht="14.25">
      <c r="A16" s="5">
        <v>12</v>
      </c>
      <c r="B16" s="7">
        <f>'A1计算'!I16</f>
        <v>2.510939157096299</v>
      </c>
      <c r="C16" s="7"/>
      <c r="D16" s="7">
        <f>'A3计算'!F16</f>
        <v>-846.4401500669771</v>
      </c>
      <c r="E16" s="7">
        <f>'A4计算'!F16</f>
        <v>0</v>
      </c>
      <c r="F16" s="7"/>
      <c r="G16" s="7">
        <f>'A6计算'!G16</f>
        <v>-904.6740824806703</v>
      </c>
      <c r="H16" s="7">
        <f>'A7计算'!K16</f>
        <v>-2.3312608072740333</v>
      </c>
      <c r="I16" s="7">
        <f>'A8计算'!E16</f>
        <v>-2.771429046061224</v>
      </c>
      <c r="J16" s="7">
        <f t="shared" si="0"/>
        <v>-1753.7059832438865</v>
      </c>
    </row>
    <row r="17" spans="1:10" ht="14.25">
      <c r="A17" s="5">
        <v>13</v>
      </c>
      <c r="B17" s="7">
        <f>'A1计算'!I17</f>
        <v>2.4119381229338135</v>
      </c>
      <c r="C17" s="7"/>
      <c r="D17" s="7">
        <f>'A3计算'!F17</f>
        <v>-964.3840331733625</v>
      </c>
      <c r="E17" s="7">
        <f>'A4计算'!F17</f>
        <v>0</v>
      </c>
      <c r="F17" s="7"/>
      <c r="G17" s="7">
        <f>'A6计算'!G17</f>
        <v>-1030.7275871348363</v>
      </c>
      <c r="H17" s="7">
        <f>'A7计算'!K17</f>
        <v>-2.3815874270863127</v>
      </c>
      <c r="I17" s="7">
        <f>'A8计算'!E17</f>
        <v>-2.771429046061224</v>
      </c>
      <c r="J17" s="7">
        <f t="shared" si="0"/>
        <v>-1997.8526986584125</v>
      </c>
    </row>
    <row r="18" spans="1:10" ht="14.25">
      <c r="A18" s="5">
        <v>14</v>
      </c>
      <c r="B18" s="7">
        <f>'A1计算'!I18</f>
        <v>2.2158029757429305</v>
      </c>
      <c r="C18" s="7"/>
      <c r="D18" s="7">
        <f>'A3计算'!F18</f>
        <v>-1113.2033902786643</v>
      </c>
      <c r="E18" s="7">
        <f>'A4计算'!F18</f>
        <v>0</v>
      </c>
      <c r="F18" s="7"/>
      <c r="G18" s="7">
        <f>'A6计算'!G18</f>
        <v>-1189.9380144320573</v>
      </c>
      <c r="H18" s="7">
        <f>'A7计算'!K18</f>
        <v>-2.7517061803403244</v>
      </c>
      <c r="I18" s="7">
        <f>'A8计算'!E18</f>
        <v>-2.771429046061224</v>
      </c>
      <c r="J18" s="7">
        <f t="shared" si="0"/>
        <v>-2306.4487369613807</v>
      </c>
    </row>
    <row r="19" spans="1:10" ht="14.25">
      <c r="A19" s="5">
        <v>15</v>
      </c>
      <c r="B19" s="7">
        <f>'A1计算'!I19</f>
        <v>1.0493435632292218</v>
      </c>
      <c r="C19" s="7"/>
      <c r="D19" s="7">
        <f>'A3计算'!F19</f>
        <v>-1238.8878939678973</v>
      </c>
      <c r="E19" s="7">
        <f>'A4计算'!F19</f>
        <v>0</v>
      </c>
      <c r="F19" s="7"/>
      <c r="G19" s="7">
        <f>'A6计算'!G19</f>
        <v>-1323.8321447427734</v>
      </c>
      <c r="H19" s="7">
        <f>'A7计算'!K19</f>
        <v>-3.026967538026804</v>
      </c>
      <c r="I19" s="7">
        <f>'A8计算'!E19</f>
        <v>-2.771429046061224</v>
      </c>
      <c r="J19" s="7">
        <f t="shared" si="0"/>
        <v>-2567.4690917315297</v>
      </c>
    </row>
    <row r="20" spans="1:10" ht="14.25">
      <c r="A20" s="5">
        <v>16</v>
      </c>
      <c r="B20" s="7">
        <f>'A1计算'!I20</f>
        <v>2.642348024786623</v>
      </c>
      <c r="C20" s="7"/>
      <c r="D20" s="7">
        <f>'A3计算'!F20</f>
        <v>-1302.3824636303627</v>
      </c>
      <c r="E20" s="7">
        <f>'A4计算'!F20</f>
        <v>0</v>
      </c>
      <c r="F20" s="7"/>
      <c r="G20" s="7">
        <f>'A6计算'!G20</f>
        <v>-1391.8957326373074</v>
      </c>
      <c r="H20" s="7">
        <f>'A7计算'!K20</f>
        <v>-2.862239535664378</v>
      </c>
      <c r="I20" s="7">
        <f>'A8计算'!E20</f>
        <v>-2.771429046061224</v>
      </c>
      <c r="J20" s="7">
        <f t="shared" si="0"/>
        <v>-2697.269516824609</v>
      </c>
    </row>
    <row r="21" spans="1:10" ht="14.25">
      <c r="A21" s="5">
        <v>17</v>
      </c>
      <c r="B21" s="7">
        <f>'A1计算'!I21</f>
        <v>3.1105130787917474</v>
      </c>
      <c r="C21" s="7"/>
      <c r="D21" s="7">
        <f>'A3计算'!F21</f>
        <v>-1445.8816442715417</v>
      </c>
      <c r="E21" s="7">
        <f>'A4计算'!F21</f>
        <v>0</v>
      </c>
      <c r="F21" s="7"/>
      <c r="G21" s="7">
        <f>'A6计算'!G21</f>
        <v>-1544.8536171137912</v>
      </c>
      <c r="H21" s="7">
        <f>'A7计算'!K21</f>
        <v>-2.6828214629483895</v>
      </c>
      <c r="I21" s="7">
        <f>'A8计算'!E21</f>
        <v>-2.771429046061224</v>
      </c>
      <c r="J21" s="7">
        <f t="shared" si="0"/>
        <v>-2993.078998815551</v>
      </c>
    </row>
    <row r="22" spans="1:10" ht="14.25">
      <c r="A22" s="5">
        <v>18</v>
      </c>
      <c r="B22" s="7">
        <f>'A1计算'!I22</f>
        <v>0.8873715537840765</v>
      </c>
      <c r="C22" s="7"/>
      <c r="D22" s="7">
        <f>'A3计算'!F22</f>
        <v>-1667.079322172231</v>
      </c>
      <c r="E22" s="7">
        <f>'A4计算'!F22</f>
        <v>0</v>
      </c>
      <c r="F22" s="7"/>
      <c r="G22" s="7">
        <f>'A6计算'!G22</f>
        <v>-1780.8424216753149</v>
      </c>
      <c r="H22" s="7">
        <f>'A7计算'!K22</f>
        <v>-3.2373836436358494</v>
      </c>
      <c r="I22" s="7">
        <f>'A8计算'!E22</f>
        <v>-2.771429046061224</v>
      </c>
      <c r="J22" s="7">
        <f t="shared" si="0"/>
        <v>-3453.043184983459</v>
      </c>
    </row>
    <row r="23" spans="1:10" ht="14.25">
      <c r="A23" s="5">
        <v>19</v>
      </c>
      <c r="B23" s="7">
        <f>'A1计算'!I23</f>
        <v>0.5738773750634906</v>
      </c>
      <c r="C23" s="7"/>
      <c r="D23" s="7">
        <f>'A3计算'!F23</f>
        <v>-1725.9976946698305</v>
      </c>
      <c r="E23" s="7">
        <f>'A4计算'!F23</f>
        <v>0</v>
      </c>
      <c r="F23" s="7"/>
      <c r="G23" s="7">
        <f>'A6计算'!G23</f>
        <v>-1843.4526494942222</v>
      </c>
      <c r="H23" s="7">
        <f>'A7计算'!K23</f>
        <v>-3.4522062826670297</v>
      </c>
      <c r="I23" s="7">
        <f>'A8计算'!E23</f>
        <v>-2.771429046061224</v>
      </c>
      <c r="J23" s="7">
        <f t="shared" si="0"/>
        <v>-3575.1001021177176</v>
      </c>
    </row>
    <row r="24" spans="1:10" ht="14.25">
      <c r="A24" s="5">
        <v>20</v>
      </c>
      <c r="B24" s="7">
        <f>'A1计算'!I24</f>
        <v>1.3864583159409385</v>
      </c>
      <c r="C24" s="7"/>
      <c r="D24" s="7">
        <f>'A3计算'!F24</f>
        <v>-1766.5776732199224</v>
      </c>
      <c r="E24" s="7">
        <f>'A4计算'!F24</f>
        <v>0</v>
      </c>
      <c r="F24" s="7"/>
      <c r="G24" s="7">
        <f>'A6计算'!G24</f>
        <v>-1887.3120571189907</v>
      </c>
      <c r="H24" s="7">
        <f>'A7计算'!K24</f>
        <v>-3.374771914699241</v>
      </c>
      <c r="I24" s="7">
        <f>'A8计算'!E24</f>
        <v>-2.771429046061224</v>
      </c>
      <c r="J24" s="7">
        <f t="shared" si="0"/>
        <v>-3658.6494729837323</v>
      </c>
    </row>
    <row r="25" spans="1:10" ht="14.25">
      <c r="A25" s="5">
        <v>21</v>
      </c>
      <c r="B25" s="7">
        <f>'A1计算'!I25</f>
        <v>2.4962214175628743</v>
      </c>
      <c r="C25" s="7"/>
      <c r="D25" s="7">
        <f>'A3计算'!F25</f>
        <v>-1855.2505126824442</v>
      </c>
      <c r="E25" s="7">
        <f>'A4计算'!F25</f>
        <v>0</v>
      </c>
      <c r="F25" s="7"/>
      <c r="G25" s="7">
        <f>'A6计算'!G25</f>
        <v>-1982.2880880063283</v>
      </c>
      <c r="H25" s="7">
        <f>'A7计算'!K25</f>
        <v>-3.1558065666199075</v>
      </c>
      <c r="I25" s="7">
        <f>'A8计算'!E25</f>
        <v>-2.771429046061224</v>
      </c>
      <c r="J25" s="7">
        <f t="shared" si="0"/>
        <v>-3840.969614883891</v>
      </c>
    </row>
    <row r="26" spans="1:10" ht="14.25">
      <c r="A26" s="5">
        <v>22</v>
      </c>
      <c r="B26" s="7">
        <f>'A1计算'!I26</f>
        <v>2.8805970812495056</v>
      </c>
      <c r="C26" s="7"/>
      <c r="D26" s="7">
        <f>'A3计算'!F26</f>
        <v>-1940.2246441799396</v>
      </c>
      <c r="E26" s="7">
        <f>'A4计算'!F26</f>
        <v>0</v>
      </c>
      <c r="F26" s="7"/>
      <c r="G26" s="7">
        <f>'A6计算'!G26</f>
        <v>-2073.0145222106826</v>
      </c>
      <c r="H26" s="7">
        <f>'A7计算'!K26</f>
        <v>-3.2845314269088264</v>
      </c>
      <c r="I26" s="7">
        <f>'A8计算'!E26</f>
        <v>-2.771429046061224</v>
      </c>
      <c r="J26" s="7">
        <f t="shared" si="0"/>
        <v>-4016.414529782343</v>
      </c>
    </row>
    <row r="27" spans="1:10" ht="14.25">
      <c r="A27" s="5">
        <v>23</v>
      </c>
      <c r="B27" s="7">
        <f>'A1计算'!I27</f>
        <v>3.1503810979224203</v>
      </c>
      <c r="C27" s="7"/>
      <c r="D27" s="7">
        <f>'A3计算'!F27</f>
        <v>-2040.4482976692768</v>
      </c>
      <c r="E27" s="7">
        <f>'A4计算'!F27</f>
        <v>0</v>
      </c>
      <c r="F27" s="7"/>
      <c r="G27" s="7">
        <f>'A6计算'!G27</f>
        <v>-2180.0288395690936</v>
      </c>
      <c r="H27" s="7">
        <f>'A7计算'!K27</f>
        <v>-3.451999312162402</v>
      </c>
      <c r="I27" s="7">
        <f>'A8计算'!E27</f>
        <v>-2.771429046061224</v>
      </c>
      <c r="J27" s="7">
        <f t="shared" si="0"/>
        <v>-4223.550184498671</v>
      </c>
    </row>
    <row r="28" spans="1:10" ht="14.25">
      <c r="A28" s="5">
        <v>24</v>
      </c>
      <c r="B28" s="7">
        <f>'A1计算'!I28</f>
        <v>3.2677807257810376</v>
      </c>
      <c r="C28" s="7"/>
      <c r="D28" s="7">
        <f>'A3计算'!F28</f>
        <v>-2186.3091006230165</v>
      </c>
      <c r="E28" s="7">
        <f>'A4计算'!F28</f>
        <v>0</v>
      </c>
      <c r="F28" s="7"/>
      <c r="G28" s="7">
        <f>'A6计算'!G28</f>
        <v>-2335.761909899125</v>
      </c>
      <c r="H28" s="7">
        <f>'A7计算'!K28</f>
        <v>-3.4212566160206155</v>
      </c>
      <c r="I28" s="7">
        <f>'A8计算'!E28</f>
        <v>-2.771429046061224</v>
      </c>
      <c r="J28" s="7">
        <f t="shared" si="0"/>
        <v>-4524.995915458441</v>
      </c>
    </row>
    <row r="29" spans="1:10" ht="14.25">
      <c r="A29" s="5">
        <v>25</v>
      </c>
      <c r="B29" s="7">
        <f>'A1计算'!I29</f>
        <v>2.7287532097247538</v>
      </c>
      <c r="C29" s="7"/>
      <c r="D29" s="7">
        <f>'A3计算'!F29</f>
        <v>-2318.377193086702</v>
      </c>
      <c r="E29" s="7">
        <f>'A4计算'!F29</f>
        <v>0</v>
      </c>
      <c r="F29" s="7"/>
      <c r="G29" s="7">
        <f>'A6计算'!G29</f>
        <v>-2476.781127080909</v>
      </c>
      <c r="H29" s="7">
        <f>'A7计算'!K29</f>
        <v>-3.551258266474483</v>
      </c>
      <c r="I29" s="7">
        <f>'A8计算'!E29</f>
        <v>-2.771429046061224</v>
      </c>
      <c r="J29" s="7">
        <f t="shared" si="0"/>
        <v>-4798.752254270421</v>
      </c>
    </row>
    <row r="30" spans="1:10" ht="14.25">
      <c r="A30" s="5">
        <v>26</v>
      </c>
      <c r="B30" s="7">
        <f>'A1计算'!I30</f>
        <v>2.2717126681405735</v>
      </c>
      <c r="C30" s="7"/>
      <c r="D30" s="7">
        <f>'A3计算'!F30</f>
        <v>-2429.449610672143</v>
      </c>
      <c r="E30" s="7">
        <f>'A4计算'!F30</f>
        <v>0</v>
      </c>
      <c r="F30" s="7"/>
      <c r="G30" s="7">
        <f>'A6计算'!G30</f>
        <v>-2595.299699683304</v>
      </c>
      <c r="H30" s="7">
        <f>'A7计算'!K30</f>
        <v>-3.640376111998961</v>
      </c>
      <c r="I30" s="7">
        <f>'A8计算'!E30</f>
        <v>-2.771429046061224</v>
      </c>
      <c r="J30" s="7">
        <f t="shared" si="0"/>
        <v>-5028.889402845366</v>
      </c>
    </row>
    <row r="31" spans="1:10" ht="14.25">
      <c r="A31" s="5">
        <v>27</v>
      </c>
      <c r="B31" s="7">
        <f>'A1计算'!I31</f>
        <v>3.6120983064176655</v>
      </c>
      <c r="C31" s="40"/>
      <c r="D31" s="7">
        <f>'A3计算'!F31</f>
        <v>-2537.2592499349757</v>
      </c>
      <c r="E31" s="7">
        <f>'A4计算'!F31</f>
        <v>0</v>
      </c>
      <c r="F31" s="40"/>
      <c r="G31" s="7">
        <f>'A6计算'!G31</f>
        <v>-2710.4235625297424</v>
      </c>
      <c r="H31" s="7">
        <f>'A7计算'!K31</f>
        <v>-3.322753752544775</v>
      </c>
      <c r="I31" s="7">
        <f>'A8计算'!E31</f>
        <v>-2.771429046061224</v>
      </c>
      <c r="J31" s="7">
        <f t="shared" si="0"/>
        <v>-5250.164896956906</v>
      </c>
    </row>
    <row r="32" spans="1:10" ht="14.25">
      <c r="A32" s="5">
        <v>28</v>
      </c>
      <c r="B32" s="7">
        <f>'A1计算'!I32</f>
        <v>0</v>
      </c>
      <c r="C32" s="40"/>
      <c r="D32" s="7">
        <f>'A3计算'!F32</f>
        <v>-661.2043491900001</v>
      </c>
      <c r="E32" s="7">
        <f>'A4计算'!F32</f>
        <v>0</v>
      </c>
      <c r="F32" s="40"/>
      <c r="G32" s="7">
        <f>'A6计算'!G32</f>
        <v>-1412.0086346784003</v>
      </c>
      <c r="H32" s="7">
        <f>'A7计算'!K32</f>
        <v>-3.834</v>
      </c>
      <c r="I32" s="7">
        <f>'A8计算'!E32</f>
        <v>-2.7802905241683673</v>
      </c>
      <c r="J32" s="7">
        <f t="shared" si="0"/>
        <v>-2079.8272743925686</v>
      </c>
    </row>
    <row r="33" spans="1:10" ht="14.25">
      <c r="A33" s="40" t="s">
        <v>187</v>
      </c>
      <c r="B33" s="7">
        <f>'A1计算'!I33</f>
        <v>1.8260054974431845</v>
      </c>
      <c r="C33" s="40"/>
      <c r="D33" s="7">
        <f>'A3计算'!F33</f>
        <v>-661.6020570549592</v>
      </c>
      <c r="E33" s="7">
        <f>'A4计算'!F33</f>
        <v>0</v>
      </c>
      <c r="F33" s="40"/>
      <c r="G33" s="7">
        <f>'A6计算'!G33</f>
        <v>-1413.4839704879726</v>
      </c>
      <c r="H33" s="7">
        <f>'A7计算'!K33</f>
        <v>-1.3103817615669535</v>
      </c>
      <c r="I33" s="7">
        <f>'A8计算'!E33</f>
        <v>-2.7802905241683673</v>
      </c>
      <c r="J33" s="7">
        <f t="shared" si="0"/>
        <v>-2077.350694331224</v>
      </c>
    </row>
    <row r="34" spans="1:10" ht="14.25">
      <c r="A34" s="41">
        <v>29</v>
      </c>
      <c r="B34" s="7">
        <f>'A1计算'!I34</f>
        <v>0</v>
      </c>
      <c r="C34" s="40"/>
      <c r="D34" s="7">
        <f>'A3计算'!F34</f>
        <v>-661.4150970569192</v>
      </c>
      <c r="E34" s="7">
        <f>'A4计算'!F34</f>
        <v>0</v>
      </c>
      <c r="F34" s="40"/>
      <c r="G34" s="7">
        <f>'A6计算'!G34</f>
        <v>-1412.4586888986946</v>
      </c>
      <c r="H34" s="7">
        <f>'A7计算'!K34</f>
        <v>-1.512</v>
      </c>
      <c r="I34" s="7">
        <f>'A8计算'!E34</f>
        <v>-2.7802905241683673</v>
      </c>
      <c r="J34" s="7">
        <f t="shared" si="0"/>
        <v>-2078.1660764797825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0">
      <selection activeCell="A34" sqref="A34:IV34"/>
    </sheetView>
  </sheetViews>
  <sheetFormatPr defaultColWidth="9.00390625" defaultRowHeight="14.25"/>
  <sheetData>
    <row r="1" spans="1:9" ht="14.25">
      <c r="A1" s="52" t="s">
        <v>118</v>
      </c>
      <c r="B1" s="52"/>
      <c r="C1" s="52"/>
      <c r="D1" s="52"/>
      <c r="F1" s="52" t="s">
        <v>122</v>
      </c>
      <c r="G1" s="52"/>
      <c r="H1" s="52"/>
      <c r="I1" s="52"/>
    </row>
    <row r="2" spans="1:9" ht="15.75">
      <c r="A2" s="5" t="s">
        <v>1</v>
      </c>
      <c r="B2" s="6" t="s">
        <v>119</v>
      </c>
      <c r="C2" s="6" t="s">
        <v>120</v>
      </c>
      <c r="D2" s="6" t="s">
        <v>121</v>
      </c>
      <c r="F2" s="5" t="s">
        <v>1</v>
      </c>
      <c r="G2" s="6" t="s">
        <v>90</v>
      </c>
      <c r="H2" s="6" t="s">
        <v>97</v>
      </c>
      <c r="I2" s="6" t="s">
        <v>123</v>
      </c>
    </row>
    <row r="3" spans="1:10" ht="14.25">
      <c r="A3" s="5">
        <v>0</v>
      </c>
      <c r="B3" s="7">
        <f>'钢管自重计算'!E3</f>
        <v>0</v>
      </c>
      <c r="C3" s="7">
        <f>'水重计算'!E3</f>
        <v>0</v>
      </c>
      <c r="D3" s="7">
        <f>B3+C3</f>
        <v>0</v>
      </c>
      <c r="E3" s="13"/>
      <c r="F3" s="30">
        <v>0</v>
      </c>
      <c r="G3" s="7">
        <f>'钢管自重计算'!K3</f>
        <v>4.434010484988287</v>
      </c>
      <c r="H3" s="7">
        <f>'水重计算'!K3</f>
        <v>13.80023488024444</v>
      </c>
      <c r="I3" s="7">
        <f>G3+H3</f>
        <v>18.234245365232727</v>
      </c>
      <c r="J3" s="13"/>
    </row>
    <row r="4" spans="1:10" ht="14.25">
      <c r="A4" s="5">
        <v>1</v>
      </c>
      <c r="B4" s="7">
        <f>'钢管自重计算'!E4</f>
        <v>4.434010484988287</v>
      </c>
      <c r="C4" s="7">
        <f>'水重计算'!E4</f>
        <v>13.80023488024444</v>
      </c>
      <c r="D4" s="7">
        <f aca="true" t="shared" si="0" ref="D4:D34">B4+C4</f>
        <v>18.234245365232727</v>
      </c>
      <c r="E4" s="13"/>
      <c r="F4" s="30">
        <v>1</v>
      </c>
      <c r="G4" s="7">
        <f>'钢管自重计算'!K4</f>
        <v>4.412362113979623</v>
      </c>
      <c r="H4" s="7">
        <f>'水重计算'!K4</f>
        <v>13.732857365981522</v>
      </c>
      <c r="I4" s="7">
        <f aca="true" t="shared" si="1" ref="I4:I34">G4+H4</f>
        <v>18.145219479961145</v>
      </c>
      <c r="J4" s="13"/>
    </row>
    <row r="5" spans="1:10" ht="15.75">
      <c r="A5" s="6" t="s">
        <v>158</v>
      </c>
      <c r="B5" s="7">
        <f>'钢管自重计算'!E5</f>
        <v>4.412362113979623</v>
      </c>
      <c r="C5" s="7">
        <f>'水重计算'!E5</f>
        <v>13.732857365981522</v>
      </c>
      <c r="D5" s="7">
        <f t="shared" si="0"/>
        <v>18.145219479961145</v>
      </c>
      <c r="E5" s="13"/>
      <c r="F5" s="33" t="s">
        <v>158</v>
      </c>
      <c r="G5" s="7">
        <f>'钢管自重计算'!K5</f>
        <v>4.362080591484273</v>
      </c>
      <c r="H5" s="7">
        <f>'水重计算'!K5</f>
        <v>13.576363189226331</v>
      </c>
      <c r="I5" s="7">
        <f t="shared" si="1"/>
        <v>17.938443780710603</v>
      </c>
      <c r="J5" s="13"/>
    </row>
    <row r="6" spans="1:10" ht="14.25">
      <c r="A6" s="5">
        <v>2</v>
      </c>
      <c r="B6" s="7">
        <f>'钢管自重计算'!E6</f>
        <v>4.362080591484273</v>
      </c>
      <c r="C6" s="7">
        <f>'水重计算'!E6</f>
        <v>13.576363189226331</v>
      </c>
      <c r="D6" s="7">
        <f t="shared" si="0"/>
        <v>17.938443780710603</v>
      </c>
      <c r="E6" s="13"/>
      <c r="F6" s="30">
        <v>2</v>
      </c>
      <c r="G6" s="7">
        <f>'钢管自重计算'!K6</f>
        <v>5.811451566649604</v>
      </c>
      <c r="H6" s="7">
        <f>'水重计算'!K6</f>
        <v>13.527496503881851</v>
      </c>
      <c r="I6" s="7">
        <f t="shared" si="1"/>
        <v>19.338948070531455</v>
      </c>
      <c r="J6" s="13"/>
    </row>
    <row r="7" spans="1:10" ht="14.25">
      <c r="A7" s="5">
        <v>3</v>
      </c>
      <c r="B7" s="7">
        <f>'钢管自重计算'!E7</f>
        <v>5.811451566649604</v>
      </c>
      <c r="C7" s="7">
        <f>'水重计算'!E7</f>
        <v>13.527496503881851</v>
      </c>
      <c r="D7" s="7">
        <f t="shared" si="0"/>
        <v>19.338948070531455</v>
      </c>
      <c r="E7" s="13"/>
      <c r="F7" s="30">
        <v>3</v>
      </c>
      <c r="G7" s="7">
        <f>'钢管自重计算'!K7</f>
        <v>5.9327354056789305</v>
      </c>
      <c r="H7" s="7">
        <f>'水重计算'!K7</f>
        <v>13.809812667000537</v>
      </c>
      <c r="I7" s="7">
        <f t="shared" si="1"/>
        <v>19.74254807267947</v>
      </c>
      <c r="J7" s="13"/>
    </row>
    <row r="8" spans="1:10" ht="14.25">
      <c r="A8" s="5">
        <v>4</v>
      </c>
      <c r="B8" s="7">
        <f>'钢管自重计算'!E8</f>
        <v>5.9327354056789305</v>
      </c>
      <c r="C8" s="7">
        <f>'水重计算'!E8</f>
        <v>13.809812667000537</v>
      </c>
      <c r="D8" s="7">
        <f t="shared" si="0"/>
        <v>19.74254807267947</v>
      </c>
      <c r="E8" s="13"/>
      <c r="F8" s="30">
        <v>4</v>
      </c>
      <c r="G8" s="7">
        <f>'钢管自重计算'!K8</f>
        <v>5.9327354056789305</v>
      </c>
      <c r="H8" s="7">
        <f>'水重计算'!K8</f>
        <v>13.809812667000537</v>
      </c>
      <c r="I8" s="7">
        <f t="shared" si="1"/>
        <v>19.74254807267947</v>
      </c>
      <c r="J8" s="13"/>
    </row>
    <row r="9" spans="1:10" ht="14.25">
      <c r="A9" s="5">
        <v>5</v>
      </c>
      <c r="B9" s="7">
        <f>'钢管自重计算'!E9</f>
        <v>5.9327354056789305</v>
      </c>
      <c r="C9" s="7">
        <f>'水重计算'!E9</f>
        <v>13.809812667000537</v>
      </c>
      <c r="D9" s="7">
        <f t="shared" si="0"/>
        <v>19.74254807267947</v>
      </c>
      <c r="E9" s="13"/>
      <c r="F9" s="30">
        <v>5</v>
      </c>
      <c r="G9" s="7">
        <f>'钢管自重计算'!K9</f>
        <v>5.825235148961263</v>
      </c>
      <c r="H9" s="7">
        <f>'水重计算'!K9</f>
        <v>13.559580976993866</v>
      </c>
      <c r="I9" s="7">
        <f t="shared" si="1"/>
        <v>19.38481612595513</v>
      </c>
      <c r="J9" s="13"/>
    </row>
    <row r="10" spans="1:10" ht="14.25">
      <c r="A10" s="5">
        <v>6</v>
      </c>
      <c r="B10" s="7">
        <f>'钢管自重计算'!E10</f>
        <v>5.825235148961263</v>
      </c>
      <c r="C10" s="7">
        <f>'水重计算'!E10</f>
        <v>13.559580976993866</v>
      </c>
      <c r="D10" s="7">
        <f t="shared" si="0"/>
        <v>19.38481612595513</v>
      </c>
      <c r="E10" s="13"/>
      <c r="F10" s="30">
        <v>6</v>
      </c>
      <c r="G10" s="7">
        <f>'钢管自重计算'!K10</f>
        <v>5.918107153643751</v>
      </c>
      <c r="H10" s="7">
        <f>'水重计算'!K10</f>
        <v>13.775762029910245</v>
      </c>
      <c r="I10" s="7">
        <f t="shared" si="1"/>
        <v>19.693869183553996</v>
      </c>
      <c r="J10" s="13"/>
    </row>
    <row r="11" spans="1:10" ht="14.25">
      <c r="A11" s="5">
        <v>7</v>
      </c>
      <c r="B11" s="7">
        <f>'钢管自重计算'!E11</f>
        <v>5.918107153643751</v>
      </c>
      <c r="C11" s="7">
        <f>'水重计算'!E11</f>
        <v>13.775762029910245</v>
      </c>
      <c r="D11" s="7">
        <f t="shared" si="0"/>
        <v>19.693869183553996</v>
      </c>
      <c r="E11" s="13"/>
      <c r="F11" s="30">
        <v>7</v>
      </c>
      <c r="G11" s="7">
        <f>'钢管自重计算'!K11</f>
        <v>5.918107153643751</v>
      </c>
      <c r="H11" s="7">
        <f>'水重计算'!K11</f>
        <v>13.775762029910245</v>
      </c>
      <c r="I11" s="7">
        <f t="shared" si="1"/>
        <v>19.693869183553996</v>
      </c>
      <c r="J11" s="13"/>
    </row>
    <row r="12" spans="1:10" ht="14.25">
      <c r="A12" s="5">
        <v>8</v>
      </c>
      <c r="B12" s="7">
        <f>'钢管自重计算'!E12</f>
        <v>5.918107153643751</v>
      </c>
      <c r="C12" s="7">
        <f>'水重计算'!E12</f>
        <v>13.775762029910245</v>
      </c>
      <c r="D12" s="7">
        <f t="shared" si="0"/>
        <v>19.693869183553996</v>
      </c>
      <c r="E12" s="13"/>
      <c r="F12" s="30">
        <v>8</v>
      </c>
      <c r="G12" s="7">
        <f>'钢管自重计算'!K12</f>
        <v>5.918107153643751</v>
      </c>
      <c r="H12" s="7">
        <f>'水重计算'!K12</f>
        <v>13.775762029910245</v>
      </c>
      <c r="I12" s="7">
        <f t="shared" si="1"/>
        <v>19.693869183553996</v>
      </c>
      <c r="J12" s="13"/>
    </row>
    <row r="13" spans="1:10" ht="14.25">
      <c r="A13" s="5">
        <v>9</v>
      </c>
      <c r="B13" s="7">
        <f>'钢管自重计算'!E13</f>
        <v>5.918107153643751</v>
      </c>
      <c r="C13" s="7">
        <f>'水重计算'!E13</f>
        <v>13.775762029910245</v>
      </c>
      <c r="D13" s="7">
        <f t="shared" si="0"/>
        <v>19.693869183553996</v>
      </c>
      <c r="E13" s="13"/>
      <c r="F13" s="30">
        <v>9</v>
      </c>
      <c r="G13" s="7">
        <f>'钢管自重计算'!K13</f>
        <v>7.236806412823616</v>
      </c>
      <c r="H13" s="7">
        <f>'水重计算'!K13</f>
        <v>13.453660243974104</v>
      </c>
      <c r="I13" s="7">
        <f t="shared" si="1"/>
        <v>20.69046665679772</v>
      </c>
      <c r="J13" s="13"/>
    </row>
    <row r="14" spans="1:10" ht="14.25">
      <c r="A14" s="5">
        <v>10</v>
      </c>
      <c r="B14" s="7">
        <f>'钢管自重计算'!E14</f>
        <v>7.236806412823616</v>
      </c>
      <c r="C14" s="7">
        <f>'水重计算'!E14</f>
        <v>13.453660243974104</v>
      </c>
      <c r="D14" s="7">
        <f t="shared" si="0"/>
        <v>20.69046665679772</v>
      </c>
      <c r="E14" s="13"/>
      <c r="F14" s="30">
        <v>10</v>
      </c>
      <c r="G14" s="7">
        <f>'钢管自重计算'!K14</f>
        <v>6.253027299799809</v>
      </c>
      <c r="H14" s="7">
        <f>'水重计算'!K14</f>
        <v>11.624755449963404</v>
      </c>
      <c r="I14" s="7">
        <f t="shared" si="1"/>
        <v>17.877782749763213</v>
      </c>
      <c r="J14" s="13"/>
    </row>
    <row r="15" spans="1:10" ht="14.25">
      <c r="A15" s="5">
        <v>11</v>
      </c>
      <c r="B15" s="7">
        <f>'钢管自重计算'!E15</f>
        <v>6.253027299799809</v>
      </c>
      <c r="C15" s="7">
        <f>'水重计算'!E15</f>
        <v>11.624755449963404</v>
      </c>
      <c r="D15" s="7">
        <f t="shared" si="0"/>
        <v>17.877782749763213</v>
      </c>
      <c r="E15" s="13"/>
      <c r="F15" s="30">
        <v>11</v>
      </c>
      <c r="G15" s="7">
        <f>'钢管自重计算'!K15</f>
        <v>7.3106427067899205</v>
      </c>
      <c r="H15" s="7">
        <f>'水重计算'!K15</f>
        <v>11.313117484808984</v>
      </c>
      <c r="I15" s="7">
        <f t="shared" si="1"/>
        <v>18.623760191598905</v>
      </c>
      <c r="J15" s="13"/>
    </row>
    <row r="16" spans="1:10" ht="14.25">
      <c r="A16" s="5">
        <v>12</v>
      </c>
      <c r="B16" s="7">
        <f>'钢管自重计算'!E16</f>
        <v>7.3106427067899205</v>
      </c>
      <c r="C16" s="7">
        <f>'水重计算'!E16</f>
        <v>11.313117484808984</v>
      </c>
      <c r="D16" s="7">
        <f t="shared" si="0"/>
        <v>18.623760191598905</v>
      </c>
      <c r="E16" s="13"/>
      <c r="F16" s="30">
        <v>12</v>
      </c>
      <c r="G16" s="7">
        <f>'钢管自重计算'!K16</f>
        <v>8.354484031554748</v>
      </c>
      <c r="H16" s="7">
        <f>'水重计算'!K16</f>
        <v>11.07268936239553</v>
      </c>
      <c r="I16" s="7">
        <f t="shared" si="1"/>
        <v>19.427173393950277</v>
      </c>
      <c r="J16" s="13"/>
    </row>
    <row r="17" spans="1:10" ht="14.25">
      <c r="A17" s="5">
        <v>13</v>
      </c>
      <c r="B17" s="7">
        <f>'钢管自重计算'!E17</f>
        <v>8.35448403155475</v>
      </c>
      <c r="C17" s="7">
        <f>'水重计算'!E17</f>
        <v>11.07268936239553</v>
      </c>
      <c r="D17" s="7">
        <f t="shared" si="0"/>
        <v>19.427173393950277</v>
      </c>
      <c r="E17" s="13"/>
      <c r="F17" s="30">
        <v>13</v>
      </c>
      <c r="G17" s="7">
        <f>'钢管自重计算'!K17</f>
        <v>8.534838344668028</v>
      </c>
      <c r="H17" s="7">
        <f>'水重计算'!K17</f>
        <v>11.311723547717914</v>
      </c>
      <c r="I17" s="7">
        <f t="shared" si="1"/>
        <v>19.846561892385942</v>
      </c>
      <c r="J17" s="13"/>
    </row>
    <row r="18" spans="1:10" ht="14.25">
      <c r="A18" s="5">
        <v>14</v>
      </c>
      <c r="B18" s="7">
        <f>'钢管自重计算'!E18</f>
        <v>9.800771304881948</v>
      </c>
      <c r="C18" s="7">
        <f>'水重计算'!E18</f>
        <v>11.311723547717914</v>
      </c>
      <c r="D18" s="7">
        <f t="shared" si="0"/>
        <v>21.112494852599863</v>
      </c>
      <c r="E18" s="13"/>
      <c r="F18" s="30">
        <v>14</v>
      </c>
      <c r="G18" s="7">
        <f>'钢管自重计算'!K18</f>
        <v>10.644898183134718</v>
      </c>
      <c r="H18" s="7">
        <f>'水重计算'!K18</f>
        <v>12.285986653034653</v>
      </c>
      <c r="I18" s="7">
        <f t="shared" si="1"/>
        <v>22.93088483616937</v>
      </c>
      <c r="J18" s="13"/>
    </row>
    <row r="19" spans="1:10" ht="14.25">
      <c r="A19" s="5">
        <v>15</v>
      </c>
      <c r="B19" s="7">
        <f>'钢管自重计算'!E19</f>
        <v>10.644898183134718</v>
      </c>
      <c r="C19" s="7">
        <f>'水重计算'!E19</f>
        <v>12.285986653034653</v>
      </c>
      <c r="D19" s="7">
        <f t="shared" si="0"/>
        <v>22.93088483616937</v>
      </c>
      <c r="E19" s="13"/>
      <c r="F19" s="30">
        <v>15</v>
      </c>
      <c r="G19" s="7">
        <f>'钢管自重计算'!K19</f>
        <v>11.709739025248759</v>
      </c>
      <c r="H19" s="7">
        <f>'水重计算'!K19</f>
        <v>13.514990458307942</v>
      </c>
      <c r="I19" s="7">
        <f t="shared" si="1"/>
        <v>25.2247294835567</v>
      </c>
      <c r="J19" s="13"/>
    </row>
    <row r="20" spans="1:10" ht="14.25">
      <c r="A20" s="5">
        <v>16</v>
      </c>
      <c r="B20" s="7">
        <f>'钢管自重计算'!E20</f>
        <v>11.709739025248759</v>
      </c>
      <c r="C20" s="7">
        <f>'水重计算'!E20</f>
        <v>13.514990458307942</v>
      </c>
      <c r="D20" s="7">
        <f t="shared" si="0"/>
        <v>25.2247294835567</v>
      </c>
      <c r="E20" s="13"/>
      <c r="F20" s="30">
        <v>16</v>
      </c>
      <c r="G20" s="7">
        <f>'钢管自重计算'!K20</f>
        <v>11.773380174122211</v>
      </c>
      <c r="H20" s="7">
        <f>'水重计算'!K20</f>
        <v>12.078615956414268</v>
      </c>
      <c r="I20" s="7">
        <f t="shared" si="1"/>
        <v>23.851996130536477</v>
      </c>
      <c r="J20" s="13"/>
    </row>
    <row r="21" spans="1:10" ht="14.25">
      <c r="A21" s="5">
        <v>17</v>
      </c>
      <c r="B21" s="7">
        <f>'钢管自重计算'!E21</f>
        <v>11.773380174122211</v>
      </c>
      <c r="C21" s="7">
        <f>'水重计算'!E21</f>
        <v>12.078615956414268</v>
      </c>
      <c r="D21" s="7">
        <f t="shared" si="0"/>
        <v>23.851996130536477</v>
      </c>
      <c r="E21" s="13"/>
      <c r="F21" s="30">
        <v>17</v>
      </c>
      <c r="G21" s="7">
        <f>'钢管自重计算'!K21</f>
        <v>11.035371648325182</v>
      </c>
      <c r="H21" s="7">
        <f>'水重计算'!K21</f>
        <v>11.321473876244724</v>
      </c>
      <c r="I21" s="7">
        <f t="shared" si="1"/>
        <v>22.356845524569906</v>
      </c>
      <c r="J21" s="13"/>
    </row>
    <row r="22" spans="1:10" ht="14.25">
      <c r="A22" s="5">
        <v>18</v>
      </c>
      <c r="B22" s="7">
        <f>'钢管自重计算'!E22</f>
        <v>11.035371648325183</v>
      </c>
      <c r="C22" s="7">
        <f>'水重计算'!E22</f>
        <v>11.321473876244724</v>
      </c>
      <c r="D22" s="7">
        <f t="shared" si="0"/>
        <v>22.356845524569906</v>
      </c>
      <c r="E22" s="13"/>
      <c r="F22" s="30">
        <v>18</v>
      </c>
      <c r="G22" s="7">
        <f>'钢管自重计算'!K22</f>
        <v>13.31647751038512</v>
      </c>
      <c r="H22" s="7">
        <f>'水重计算'!K22</f>
        <v>13.661719519913623</v>
      </c>
      <c r="I22" s="7">
        <f t="shared" si="1"/>
        <v>26.978197030298745</v>
      </c>
      <c r="J22" s="13"/>
    </row>
    <row r="23" spans="1:10" ht="14.25">
      <c r="A23" s="5">
        <v>19</v>
      </c>
      <c r="B23" s="7">
        <f>'钢管自重计算'!E23</f>
        <v>13.31647751038512</v>
      </c>
      <c r="C23" s="7">
        <f>'水重计算'!E23</f>
        <v>13.661719519913623</v>
      </c>
      <c r="D23" s="7">
        <f t="shared" si="0"/>
        <v>26.978197030298745</v>
      </c>
      <c r="E23" s="13"/>
      <c r="F23" s="30">
        <v>19</v>
      </c>
      <c r="G23" s="7">
        <f>'钢管自重计算'!K23</f>
        <v>14.981460367398732</v>
      </c>
      <c r="H23" s="7">
        <f>'水重计算'!K23</f>
        <v>13.786925321493186</v>
      </c>
      <c r="I23" s="7">
        <f t="shared" si="1"/>
        <v>28.768385688891918</v>
      </c>
      <c r="J23" s="13"/>
    </row>
    <row r="24" spans="1:10" ht="14.25">
      <c r="A24" s="5">
        <v>20</v>
      </c>
      <c r="B24" s="7">
        <f>'钢管自重计算'!E24</f>
        <v>14.981460367398732</v>
      </c>
      <c r="C24" s="7">
        <f>'水重计算'!E24</f>
        <v>13.786925321493186</v>
      </c>
      <c r="D24" s="7">
        <f t="shared" si="0"/>
        <v>28.768385688891918</v>
      </c>
      <c r="E24" s="13"/>
      <c r="F24" s="30">
        <v>20</v>
      </c>
      <c r="G24" s="7">
        <f>'钢管自重计算'!K24</f>
        <v>14.64542021805755</v>
      </c>
      <c r="H24" s="7">
        <f>'水重计算'!K24</f>
        <v>13.477679071102795</v>
      </c>
      <c r="I24" s="7">
        <f t="shared" si="1"/>
        <v>28.123099289160344</v>
      </c>
      <c r="J24" s="13"/>
    </row>
    <row r="25" spans="1:10" ht="14.25">
      <c r="A25" s="5">
        <v>21</v>
      </c>
      <c r="B25" s="7">
        <f>'钢管自重计算'!E25</f>
        <v>14.64542021805755</v>
      </c>
      <c r="C25" s="7">
        <f>'水重计算'!E25</f>
        <v>13.477679071102795</v>
      </c>
      <c r="D25" s="7">
        <f t="shared" si="0"/>
        <v>28.123099289160344</v>
      </c>
      <c r="E25" s="13"/>
      <c r="F25" s="30">
        <v>21</v>
      </c>
      <c r="G25" s="7">
        <f>'钢管自重计算'!K25</f>
        <v>13.69518132284591</v>
      </c>
      <c r="H25" s="7">
        <f>'水重计算'!K25</f>
        <v>12.60320673231999</v>
      </c>
      <c r="I25" s="7">
        <f t="shared" si="1"/>
        <v>26.2983880551659</v>
      </c>
      <c r="J25" s="13"/>
    </row>
    <row r="26" spans="1:10" ht="14.25">
      <c r="A26" s="5">
        <v>22</v>
      </c>
      <c r="B26" s="7">
        <f>'钢管自重计算'!E26</f>
        <v>13.69518132284591</v>
      </c>
      <c r="C26" s="7">
        <f>'水重计算'!E26</f>
        <v>12.60320673231999</v>
      </c>
      <c r="D26" s="7">
        <f t="shared" si="0"/>
        <v>26.2983880551659</v>
      </c>
      <c r="E26" s="13"/>
      <c r="F26" s="30">
        <v>22</v>
      </c>
      <c r="G26" s="7">
        <f>'钢管自重计算'!K26</f>
        <v>14.901040327670254</v>
      </c>
      <c r="H26" s="7">
        <f>'水重计算'!K26</f>
        <v>12.47005489656997</v>
      </c>
      <c r="I26" s="7">
        <f t="shared" si="1"/>
        <v>27.37109522424022</v>
      </c>
      <c r="J26" s="13"/>
    </row>
    <row r="27" spans="1:10" ht="14.25">
      <c r="A27" s="5">
        <v>23</v>
      </c>
      <c r="B27" s="7">
        <f>'钢管自重计算'!E27</f>
        <v>14.901040327670254</v>
      </c>
      <c r="C27" s="7">
        <f>'水重计算'!E27</f>
        <v>12.47005489656997</v>
      </c>
      <c r="D27" s="7">
        <f t="shared" si="0"/>
        <v>27.37109522424022</v>
      </c>
      <c r="E27" s="13"/>
      <c r="F27" s="30">
        <v>23</v>
      </c>
      <c r="G27" s="7">
        <f>'钢管自重计算'!K27</f>
        <v>16.296606038116714</v>
      </c>
      <c r="H27" s="7">
        <f>'水重计算'!K27</f>
        <v>12.47005489656997</v>
      </c>
      <c r="I27" s="7">
        <f t="shared" si="1"/>
        <v>28.766660934686684</v>
      </c>
      <c r="J27" s="13"/>
    </row>
    <row r="28" spans="1:10" ht="14.25">
      <c r="A28" s="5">
        <v>24</v>
      </c>
      <c r="B28" s="7">
        <f>'钢管自重计算'!E28</f>
        <v>16.296606038116714</v>
      </c>
      <c r="C28" s="7">
        <f>'水重计算'!E28</f>
        <v>12.47005489656997</v>
      </c>
      <c r="D28" s="7">
        <f t="shared" si="0"/>
        <v>28.766660934686684</v>
      </c>
      <c r="E28" s="13"/>
      <c r="F28" s="30">
        <v>24</v>
      </c>
      <c r="G28" s="7">
        <f>'钢管自重计算'!K28</f>
        <v>16.15147228742127</v>
      </c>
      <c r="H28" s="7">
        <f>'水重计算'!K28</f>
        <v>12.358999512750527</v>
      </c>
      <c r="I28" s="7">
        <f t="shared" si="1"/>
        <v>28.5104718001718</v>
      </c>
      <c r="J28" s="13"/>
    </row>
    <row r="29" spans="1:10" ht="14.25">
      <c r="A29" s="5">
        <v>25</v>
      </c>
      <c r="B29" s="7">
        <f>'钢管自重计算'!E29</f>
        <v>16.15147228742127</v>
      </c>
      <c r="C29" s="7">
        <f>'水重计算'!E29</f>
        <v>12.358999512750527</v>
      </c>
      <c r="D29" s="7">
        <f t="shared" si="0"/>
        <v>28.5104718001718</v>
      </c>
      <c r="E29" s="13"/>
      <c r="F29" s="30">
        <v>25</v>
      </c>
      <c r="G29" s="7">
        <f>'钢管自重计算'!K29</f>
        <v>16.76519943223478</v>
      </c>
      <c r="H29" s="7">
        <f>'水重计算'!K29</f>
        <v>12.828619455052579</v>
      </c>
      <c r="I29" s="7">
        <f t="shared" si="1"/>
        <v>29.59381888728736</v>
      </c>
      <c r="J29" s="13"/>
    </row>
    <row r="30" spans="1:10" ht="14.25">
      <c r="A30" s="5">
        <v>26</v>
      </c>
      <c r="B30" s="7">
        <f>'钢管自重计算'!E30</f>
        <v>16.76519943223478</v>
      </c>
      <c r="C30" s="7">
        <f>'水重计算'!E30</f>
        <v>12.828619455052579</v>
      </c>
      <c r="D30" s="7">
        <f t="shared" si="0"/>
        <v>29.59381888728736</v>
      </c>
      <c r="E30" s="13"/>
      <c r="F30" s="30">
        <v>26</v>
      </c>
      <c r="G30" s="7">
        <f>'钢管自重计算'!K30</f>
        <v>17.185917482311215</v>
      </c>
      <c r="H30" s="7">
        <f>'水重计算'!K30</f>
        <v>13.150550117680128</v>
      </c>
      <c r="I30" s="7">
        <f t="shared" si="1"/>
        <v>30.336467599991344</v>
      </c>
      <c r="J30" s="13"/>
    </row>
    <row r="31" spans="1:9" ht="14.25">
      <c r="A31" s="5">
        <v>27</v>
      </c>
      <c r="B31" s="7">
        <f>'钢管自重计算'!E31</f>
        <v>17.185917482311215</v>
      </c>
      <c r="C31" s="7">
        <f>'水重计算'!E31</f>
        <v>13.150550117680128</v>
      </c>
      <c r="D31" s="7">
        <f t="shared" si="0"/>
        <v>30.336467599991344</v>
      </c>
      <c r="F31" s="30">
        <v>27</v>
      </c>
      <c r="G31" s="7">
        <f>'钢管自重计算'!K31</f>
        <v>15.686448336218161</v>
      </c>
      <c r="H31" s="7">
        <f>'水重计算'!K31</f>
        <v>12.00316626832163</v>
      </c>
      <c r="I31" s="7">
        <f t="shared" si="1"/>
        <v>27.68961460453979</v>
      </c>
    </row>
    <row r="32" spans="1:9" ht="14.25">
      <c r="A32" s="5">
        <v>28</v>
      </c>
      <c r="B32" s="7">
        <f>'钢管自重计算'!E32</f>
        <v>15.686448336218161</v>
      </c>
      <c r="C32" s="7">
        <f>'水重计算'!E32</f>
        <v>12.00316626832163</v>
      </c>
      <c r="D32" s="7">
        <f t="shared" si="0"/>
        <v>27.68961460453979</v>
      </c>
      <c r="F32" s="30">
        <v>28</v>
      </c>
      <c r="G32" s="7">
        <f>'钢管自重计算'!K32</f>
        <v>3.62</v>
      </c>
      <c r="H32" s="7">
        <f>'水重计算'!K32</f>
        <v>1.38</v>
      </c>
      <c r="I32" s="7">
        <f t="shared" si="1"/>
        <v>5</v>
      </c>
    </row>
    <row r="33" spans="1:9" ht="14.25">
      <c r="A33" s="40" t="s">
        <v>187</v>
      </c>
      <c r="B33" s="7">
        <f>'钢管自重计算'!E33</f>
        <v>15.686448336218161</v>
      </c>
      <c r="C33" s="7">
        <f>'水重计算'!E33</f>
        <v>2.9899583845277706</v>
      </c>
      <c r="D33" s="7">
        <f t="shared" si="0"/>
        <v>18.67640672074593</v>
      </c>
      <c r="F33" s="40" t="s">
        <v>187</v>
      </c>
      <c r="G33" s="7">
        <f>'钢管自重计算'!K33</f>
        <v>1.585977925706035</v>
      </c>
      <c r="H33" s="7">
        <f>'水重计算'!K33</f>
        <v>1.1959833538111082</v>
      </c>
      <c r="I33" s="7">
        <f t="shared" si="1"/>
        <v>2.781961279517143</v>
      </c>
    </row>
    <row r="34" spans="1:9" ht="14.25">
      <c r="A34" s="41">
        <v>29</v>
      </c>
      <c r="B34" s="7">
        <f>'钢管自重计算'!E34</f>
        <v>7.929889628530176</v>
      </c>
      <c r="C34" s="7">
        <f>'水重计算'!E34</f>
        <v>2.9899583845277706</v>
      </c>
      <c r="D34" s="7">
        <f t="shared" si="0"/>
        <v>10.919848013057946</v>
      </c>
      <c r="F34" s="35">
        <v>29</v>
      </c>
      <c r="G34" s="7">
        <f>'钢管自重计算'!K34</f>
        <v>1.83</v>
      </c>
      <c r="H34" s="7">
        <f>'水重计算'!K34</f>
        <v>1.38</v>
      </c>
      <c r="I34" s="7">
        <f t="shared" si="1"/>
        <v>3.21</v>
      </c>
    </row>
  </sheetData>
  <mergeCells count="2">
    <mergeCell ref="A1:D1"/>
    <mergeCell ref="F1:I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0">
      <selection activeCell="A34" sqref="A34:IV34"/>
    </sheetView>
  </sheetViews>
  <sheetFormatPr defaultColWidth="9.00390625" defaultRowHeight="14.25"/>
  <sheetData>
    <row r="1" spans="1:9" ht="14.25">
      <c r="A1" s="52" t="s">
        <v>124</v>
      </c>
      <c r="B1" s="52"/>
      <c r="C1" s="52"/>
      <c r="D1" s="52"/>
      <c r="E1" s="52"/>
      <c r="F1" s="52"/>
      <c r="G1" s="52"/>
      <c r="H1" s="52"/>
      <c r="I1" s="52"/>
    </row>
    <row r="2" spans="1:9" ht="18.75">
      <c r="A2" s="5" t="s">
        <v>125</v>
      </c>
      <c r="B2" s="6" t="s">
        <v>128</v>
      </c>
      <c r="C2" s="6" t="s">
        <v>129</v>
      </c>
      <c r="D2" s="6" t="s">
        <v>87</v>
      </c>
      <c r="E2" s="6" t="s">
        <v>91</v>
      </c>
      <c r="F2" s="6" t="s">
        <v>46</v>
      </c>
      <c r="G2" s="6" t="s">
        <v>45</v>
      </c>
      <c r="H2" s="12" t="s">
        <v>127</v>
      </c>
      <c r="I2" s="12" t="s">
        <v>126</v>
      </c>
    </row>
    <row r="3" spans="1:10" ht="14.25">
      <c r="A3" s="5">
        <v>0</v>
      </c>
      <c r="B3" s="7">
        <f>'水重计算'!B3+'钢管自重计算'!B3</f>
        <v>3.66</v>
      </c>
      <c r="C3" s="7">
        <f>'水重计算'!H3+'钢管自重计算'!H3</f>
        <v>3.66</v>
      </c>
      <c r="D3" s="7">
        <f>'水重计算'!C3</f>
        <v>0</v>
      </c>
      <c r="E3" s="7">
        <f>'水重计算'!I3</f>
        <v>10</v>
      </c>
      <c r="F3" s="7">
        <f>'水重计算'!D3</f>
        <v>0</v>
      </c>
      <c r="G3" s="7">
        <f>'水重计算'!J3</f>
        <v>4.861</v>
      </c>
      <c r="H3" s="7">
        <f>B3*D3^2*COS(3.14*F3/180)/11</f>
        <v>0</v>
      </c>
      <c r="I3" s="7">
        <f>C3*E3^2*COS(3.14*G3/180)/11</f>
        <v>33.15317339133223</v>
      </c>
      <c r="J3" s="13"/>
    </row>
    <row r="4" spans="1:10" ht="14.25">
      <c r="A4" s="5">
        <v>1</v>
      </c>
      <c r="B4" s="7">
        <f>'水重计算'!B4+'钢管自重计算'!B4</f>
        <v>3.66</v>
      </c>
      <c r="C4" s="7">
        <f>'水重计算'!H4+'钢管自重计算'!H4</f>
        <v>3.66</v>
      </c>
      <c r="D4" s="7">
        <f>'水重计算'!C4</f>
        <v>10</v>
      </c>
      <c r="E4" s="7">
        <f>'水重计算'!I4</f>
        <v>10</v>
      </c>
      <c r="F4" s="7">
        <f>'水重计算'!D4</f>
        <v>4.861</v>
      </c>
      <c r="G4" s="7">
        <f>'水重计算'!J4</f>
        <v>7.461</v>
      </c>
      <c r="H4" s="7">
        <f aca="true" t="shared" si="0" ref="H4:H34">B4*D4^2*COS(3.14*F4/180)/11</f>
        <v>33.15317339133223</v>
      </c>
      <c r="I4" s="7">
        <f aca="true" t="shared" si="1" ref="I4:I34">C4*E4^2*COS(3.14*G4/180)/11</f>
        <v>32.9913081453839</v>
      </c>
      <c r="J4" s="13"/>
    </row>
    <row r="5" spans="1:10" ht="15.75">
      <c r="A5" s="6" t="s">
        <v>158</v>
      </c>
      <c r="B5" s="7">
        <f>'水重计算'!B5+'钢管自重计算'!B5</f>
        <v>3.66</v>
      </c>
      <c r="C5" s="7">
        <f>'水重计算'!H5+'钢管自重计算'!H5</f>
        <v>3.66</v>
      </c>
      <c r="D5" s="7">
        <f>'水重计算'!C5</f>
        <v>10</v>
      </c>
      <c r="E5" s="7">
        <f>'水重计算'!I5</f>
        <v>10</v>
      </c>
      <c r="F5" s="7">
        <f>'水重计算'!D5</f>
        <v>7.461</v>
      </c>
      <c r="G5" s="7">
        <f>'水重计算'!J5</f>
        <v>11.414</v>
      </c>
      <c r="H5" s="7">
        <f t="shared" si="0"/>
        <v>32.9913081453839</v>
      </c>
      <c r="I5" s="7">
        <f t="shared" si="1"/>
        <v>32.61535232856474</v>
      </c>
      <c r="J5" s="13"/>
    </row>
    <row r="6" spans="1:10" ht="14.25">
      <c r="A6" s="5">
        <v>2</v>
      </c>
      <c r="B6" s="7">
        <f>'水重计算'!B6+'钢管自重计算'!B6</f>
        <v>3.66</v>
      </c>
      <c r="C6" s="7">
        <f>'水重计算'!H6+'钢管自重计算'!H6</f>
        <v>3.96</v>
      </c>
      <c r="D6" s="7">
        <f>'水重计算'!C6</f>
        <v>10</v>
      </c>
      <c r="E6" s="7">
        <f>'水重计算'!I6</f>
        <v>10</v>
      </c>
      <c r="F6" s="7">
        <f>'水重计算'!D6</f>
        <v>11.414</v>
      </c>
      <c r="G6" s="7">
        <f>'水重计算'!J6</f>
        <v>12.395</v>
      </c>
      <c r="H6" s="7">
        <f t="shared" si="0"/>
        <v>32.61535232856474</v>
      </c>
      <c r="I6" s="7">
        <f t="shared" si="1"/>
        <v>35.16172376460265</v>
      </c>
      <c r="J6" s="13"/>
    </row>
    <row r="7" spans="1:10" ht="14.25">
      <c r="A7" s="5">
        <v>3</v>
      </c>
      <c r="B7" s="7">
        <f>'水重计算'!B7+'钢管自重计算'!B7</f>
        <v>3.96</v>
      </c>
      <c r="C7" s="7">
        <f>'水重计算'!H7+'钢管自重计算'!H7</f>
        <v>3.96</v>
      </c>
      <c r="D7" s="7">
        <f>'水重计算'!C7</f>
        <v>10</v>
      </c>
      <c r="E7" s="7">
        <f>'水重计算'!I7</f>
        <v>10</v>
      </c>
      <c r="F7" s="7">
        <f>'水重计算'!D7</f>
        <v>12.395</v>
      </c>
      <c r="G7" s="7">
        <f>'水重计算'!J7</f>
        <v>4.368</v>
      </c>
      <c r="H7" s="7">
        <f t="shared" si="0"/>
        <v>35.16172376460265</v>
      </c>
      <c r="I7" s="7">
        <f t="shared" si="1"/>
        <v>35.895541950326304</v>
      </c>
      <c r="J7" s="13"/>
    </row>
    <row r="8" spans="1:10" ht="14.25">
      <c r="A8" s="5">
        <v>4</v>
      </c>
      <c r="B8" s="7">
        <f>'水重计算'!B8+'钢管自重计算'!B8</f>
        <v>3.96</v>
      </c>
      <c r="C8" s="7">
        <f>'水重计算'!H8+'钢管自重计算'!H8</f>
        <v>3.96</v>
      </c>
      <c r="D8" s="7">
        <f>'水重计算'!C8</f>
        <v>10</v>
      </c>
      <c r="E8" s="7">
        <f>'水重计算'!I8</f>
        <v>10</v>
      </c>
      <c r="F8" s="7">
        <f>'水重计算'!D8</f>
        <v>4.368</v>
      </c>
      <c r="G8" s="7">
        <f>'水重计算'!J8</f>
        <v>4.368</v>
      </c>
      <c r="H8" s="7">
        <f t="shared" si="0"/>
        <v>35.895541950326304</v>
      </c>
      <c r="I8" s="7">
        <f t="shared" si="1"/>
        <v>35.895541950326304</v>
      </c>
      <c r="J8" s="13"/>
    </row>
    <row r="9" spans="1:10" ht="14.25">
      <c r="A9" s="5">
        <v>5</v>
      </c>
      <c r="B9" s="7">
        <f>'水重计算'!B9+'钢管自重计算'!B9</f>
        <v>3.96</v>
      </c>
      <c r="C9" s="7">
        <f>'水重计算'!H9+'钢管自重计算'!H9</f>
        <v>3.96</v>
      </c>
      <c r="D9" s="7">
        <f>'水重计算'!C9</f>
        <v>10</v>
      </c>
      <c r="E9" s="7">
        <f>'水重计算'!I9</f>
        <v>10</v>
      </c>
      <c r="F9" s="7">
        <f>'水重计算'!D9</f>
        <v>4.368</v>
      </c>
      <c r="G9" s="7">
        <f>'水重计算'!J9</f>
        <v>11.760000000000002</v>
      </c>
      <c r="H9" s="7">
        <f t="shared" si="0"/>
        <v>35.895541950326304</v>
      </c>
      <c r="I9" s="7">
        <f t="shared" si="1"/>
        <v>35.24512022900932</v>
      </c>
      <c r="J9" s="13"/>
    </row>
    <row r="10" spans="1:10" ht="14.25">
      <c r="A10" s="5">
        <v>6</v>
      </c>
      <c r="B10" s="7">
        <f>'水重计算'!B10+'钢管自重计算'!B10</f>
        <v>3.96</v>
      </c>
      <c r="C10" s="7">
        <f>'水重计算'!H10+'钢管自重计算'!H10</f>
        <v>3.96</v>
      </c>
      <c r="D10" s="7">
        <f>'水重计算'!C10</f>
        <v>10</v>
      </c>
      <c r="E10" s="7">
        <f>'水重计算'!I10</f>
        <v>10</v>
      </c>
      <c r="F10" s="7">
        <f>'水重计算'!D10</f>
        <v>11.760000000000002</v>
      </c>
      <c r="G10" s="7">
        <f>'水重计算'!J10</f>
        <v>5.9380000000000015</v>
      </c>
      <c r="H10" s="7">
        <f t="shared" si="0"/>
        <v>35.24512022900932</v>
      </c>
      <c r="I10" s="7">
        <f t="shared" si="1"/>
        <v>35.80703487918908</v>
      </c>
      <c r="J10" s="13"/>
    </row>
    <row r="11" spans="1:10" ht="14.25">
      <c r="A11" s="5">
        <v>7</v>
      </c>
      <c r="B11" s="7">
        <f>'水重计算'!B11+'钢管自重计算'!B11</f>
        <v>3.96</v>
      </c>
      <c r="C11" s="7">
        <f>'水重计算'!H11+'钢管自重计算'!H11</f>
        <v>3.96</v>
      </c>
      <c r="D11" s="7">
        <f>'水重计算'!C11</f>
        <v>10</v>
      </c>
      <c r="E11" s="7">
        <f>'水重计算'!I11</f>
        <v>10</v>
      </c>
      <c r="F11" s="7">
        <f>'水重计算'!D11</f>
        <v>5.9380000000000015</v>
      </c>
      <c r="G11" s="7">
        <f>'水重计算'!J11</f>
        <v>5.9380000000000015</v>
      </c>
      <c r="H11" s="7">
        <f t="shared" si="0"/>
        <v>35.80703487918908</v>
      </c>
      <c r="I11" s="7">
        <f t="shared" si="1"/>
        <v>35.80703487918908</v>
      </c>
      <c r="J11" s="13"/>
    </row>
    <row r="12" spans="1:10" ht="14.25">
      <c r="A12" s="5">
        <v>8</v>
      </c>
      <c r="B12" s="7">
        <f>'水重计算'!B12+'钢管自重计算'!B12</f>
        <v>3.96</v>
      </c>
      <c r="C12" s="7">
        <f>'水重计算'!H12+'钢管自重计算'!H12</f>
        <v>3.96</v>
      </c>
      <c r="D12" s="7">
        <f>'水重计算'!C12</f>
        <v>10</v>
      </c>
      <c r="E12" s="7">
        <f>'水重计算'!I12</f>
        <v>10</v>
      </c>
      <c r="F12" s="7">
        <f>'水重计算'!D12</f>
        <v>5.9380000000000015</v>
      </c>
      <c r="G12" s="7">
        <f>'水重计算'!J12</f>
        <v>5.9380000000000015</v>
      </c>
      <c r="H12" s="7">
        <f t="shared" si="0"/>
        <v>35.80703487918908</v>
      </c>
      <c r="I12" s="7">
        <f t="shared" si="1"/>
        <v>35.80703487918908</v>
      </c>
      <c r="J12" s="13"/>
    </row>
    <row r="13" spans="1:10" ht="14.25">
      <c r="A13" s="5">
        <v>9</v>
      </c>
      <c r="B13" s="7">
        <f>'水重计算'!B13+'钢管自重计算'!B13</f>
        <v>3.96</v>
      </c>
      <c r="C13" s="7">
        <f>'水重计算'!H13+'钢管自重计算'!H13</f>
        <v>4.26</v>
      </c>
      <c r="D13" s="7">
        <f>'水重计算'!C13</f>
        <v>10</v>
      </c>
      <c r="E13" s="7">
        <f>'水重计算'!I13</f>
        <v>10</v>
      </c>
      <c r="F13" s="7">
        <f>'水重计算'!D13</f>
        <v>5.9380000000000015</v>
      </c>
      <c r="G13" s="7">
        <f>'水重计算'!J13</f>
        <v>13.747000000000002</v>
      </c>
      <c r="H13" s="7">
        <f t="shared" si="0"/>
        <v>35.80703487918908</v>
      </c>
      <c r="I13" s="7">
        <f t="shared" si="1"/>
        <v>37.619030285086765</v>
      </c>
      <c r="J13" s="13"/>
    </row>
    <row r="14" spans="1:10" ht="14.25">
      <c r="A14" s="5">
        <v>10</v>
      </c>
      <c r="B14" s="7">
        <f>'水重计算'!B14+'钢管自重计算'!B14</f>
        <v>4.26</v>
      </c>
      <c r="C14" s="7">
        <f>'水重计算'!H14+'钢管自重计算'!H14</f>
        <v>4.26</v>
      </c>
      <c r="D14" s="7">
        <f>'水重计算'!C14</f>
        <v>10</v>
      </c>
      <c r="E14" s="7">
        <f>'水重计算'!I14</f>
        <v>10</v>
      </c>
      <c r="F14" s="7">
        <f>'水重计算'!D14</f>
        <v>13.747000000000002</v>
      </c>
      <c r="G14" s="7">
        <f>'水重计算'!J14</f>
        <v>32.947</v>
      </c>
      <c r="H14" s="7">
        <f t="shared" si="0"/>
        <v>37.619030285086765</v>
      </c>
      <c r="I14" s="7">
        <f t="shared" si="1"/>
        <v>32.505059545024025</v>
      </c>
      <c r="J14" s="13"/>
    </row>
    <row r="15" spans="1:10" ht="14.25">
      <c r="A15" s="5">
        <v>11</v>
      </c>
      <c r="B15" s="7">
        <f>'水重计算'!B15+'钢管自重计算'!B15</f>
        <v>4.26</v>
      </c>
      <c r="C15" s="7">
        <f>'水重计算'!H15+'钢管自重计算'!H15</f>
        <v>4.5600000000000005</v>
      </c>
      <c r="D15" s="7">
        <f>'水重计算'!C15</f>
        <v>10</v>
      </c>
      <c r="E15" s="7">
        <f>'水重计算'!I15</f>
        <v>10</v>
      </c>
      <c r="F15" s="7">
        <f>'水重计算'!D15</f>
        <v>32.947</v>
      </c>
      <c r="G15" s="7">
        <f>'水重计算'!J15</f>
        <v>35.249</v>
      </c>
      <c r="H15" s="7">
        <f t="shared" si="0"/>
        <v>32.505059545024025</v>
      </c>
      <c r="I15" s="7">
        <f t="shared" si="1"/>
        <v>33.86138216654347</v>
      </c>
      <c r="J15" s="13"/>
    </row>
    <row r="16" spans="1:10" ht="14.25">
      <c r="A16" s="5">
        <v>12</v>
      </c>
      <c r="B16" s="7">
        <f>'水重计算'!B16+'钢管自重计算'!B16</f>
        <v>4.5600000000000005</v>
      </c>
      <c r="C16" s="7">
        <f>'水重计算'!H16+'钢管自重计算'!H16</f>
        <v>4.859999999999999</v>
      </c>
      <c r="D16" s="7">
        <f>'水重计算'!C16</f>
        <v>10</v>
      </c>
      <c r="E16" s="7">
        <f>'水重计算'!I16</f>
        <v>10</v>
      </c>
      <c r="F16" s="7">
        <f>'水重计算'!D16</f>
        <v>35.249</v>
      </c>
      <c r="G16" s="7">
        <f>'水重计算'!J16</f>
        <v>36.939</v>
      </c>
      <c r="H16" s="7">
        <f t="shared" si="0"/>
        <v>33.86138216654347</v>
      </c>
      <c r="I16" s="7">
        <f t="shared" si="1"/>
        <v>35.32213344354596</v>
      </c>
      <c r="J16" s="13"/>
    </row>
    <row r="17" spans="1:10" ht="14.25">
      <c r="A17" s="5">
        <v>13</v>
      </c>
      <c r="B17" s="7">
        <f>'水重计算'!B17+'钢管自重计算'!B17</f>
        <v>4.859999999999999</v>
      </c>
      <c r="C17" s="7">
        <f>'水重计算'!H17+'钢管自重计算'!H17</f>
        <v>4.859999999999999</v>
      </c>
      <c r="D17" s="7">
        <f>'水重计算'!C17</f>
        <v>10</v>
      </c>
      <c r="E17" s="7">
        <f>'水重计算'!I17</f>
        <v>10</v>
      </c>
      <c r="F17" s="7">
        <f>'水重计算'!D17</f>
        <v>36.939</v>
      </c>
      <c r="G17" s="7">
        <f>'水重计算'!J17</f>
        <v>35.259</v>
      </c>
      <c r="H17" s="7">
        <f t="shared" si="0"/>
        <v>35.32213344354596</v>
      </c>
      <c r="I17" s="7">
        <f t="shared" si="1"/>
        <v>36.08465798615626</v>
      </c>
      <c r="J17" s="13"/>
    </row>
    <row r="18" spans="1:10" ht="14.25">
      <c r="A18" s="5">
        <v>14</v>
      </c>
      <c r="B18" s="7">
        <f>'水重计算'!B18+'钢管自重计算'!B18</f>
        <v>5.17</v>
      </c>
      <c r="C18" s="7">
        <f>'水重计算'!H18+'钢管自重计算'!H18</f>
        <v>5.17</v>
      </c>
      <c r="D18" s="7">
        <f>'水重计算'!C18</f>
        <v>10</v>
      </c>
      <c r="E18" s="7">
        <f>'水重计算'!I18</f>
        <v>10</v>
      </c>
      <c r="F18" s="7">
        <f>'水重计算'!D18</f>
        <v>35.259</v>
      </c>
      <c r="G18" s="7">
        <f>'水重计算'!J18</f>
        <v>27.506</v>
      </c>
      <c r="H18" s="7">
        <f t="shared" si="0"/>
        <v>38.386354277454295</v>
      </c>
      <c r="I18" s="7">
        <f t="shared" si="1"/>
        <v>41.69251788394431</v>
      </c>
      <c r="J18" s="13"/>
    </row>
    <row r="19" spans="1:10" ht="14.25">
      <c r="A19" s="5">
        <v>15</v>
      </c>
      <c r="B19" s="7">
        <f>'水重计算'!B19+'钢管自重计算'!B19</f>
        <v>5.17</v>
      </c>
      <c r="C19" s="7">
        <f>'水重计算'!H19+'钢管自重计算'!H19</f>
        <v>5.17</v>
      </c>
      <c r="D19" s="7">
        <f>'水重计算'!C19</f>
        <v>10</v>
      </c>
      <c r="E19" s="7">
        <f>'水重计算'!I19</f>
        <v>10</v>
      </c>
      <c r="F19" s="7">
        <f>'水重计算'!D19</f>
        <v>27.506</v>
      </c>
      <c r="G19" s="7">
        <f>'水重计算'!J19</f>
        <v>12.634</v>
      </c>
      <c r="H19" s="7">
        <f t="shared" si="0"/>
        <v>41.69251788394431</v>
      </c>
      <c r="I19" s="7">
        <f t="shared" si="1"/>
        <v>45.863144515557636</v>
      </c>
      <c r="J19" s="13"/>
    </row>
    <row r="20" spans="1:10" ht="14.25">
      <c r="A20" s="5">
        <v>16</v>
      </c>
      <c r="B20" s="7">
        <f>'水重计算'!B20+'钢管自重计算'!B20</f>
        <v>5.17</v>
      </c>
      <c r="C20" s="7">
        <f>'水重计算'!H20+'钢管自重计算'!H20</f>
        <v>5.470000000000001</v>
      </c>
      <c r="D20" s="7">
        <f>'水重计算'!C20</f>
        <v>10</v>
      </c>
      <c r="E20" s="7">
        <f>'水重计算'!I20</f>
        <v>10</v>
      </c>
      <c r="F20" s="7">
        <f>'水重计算'!D20</f>
        <v>12.634</v>
      </c>
      <c r="G20" s="7">
        <f>'水重计算'!J20</f>
        <v>29.311</v>
      </c>
      <c r="H20" s="7">
        <f t="shared" si="0"/>
        <v>45.863144515557636</v>
      </c>
      <c r="I20" s="7">
        <f t="shared" si="1"/>
        <v>43.36726569188452</v>
      </c>
      <c r="J20" s="13"/>
    </row>
    <row r="21" spans="1:10" ht="14.25">
      <c r="A21" s="5">
        <v>17</v>
      </c>
      <c r="B21" s="7">
        <f>'水重计算'!B21+'钢管自重计算'!B21</f>
        <v>5.470000000000001</v>
      </c>
      <c r="C21" s="7">
        <f>'水重计算'!H21+'钢管自重计算'!H21</f>
        <v>5.470000000000001</v>
      </c>
      <c r="D21" s="7">
        <f>'水重计算'!C21</f>
        <v>10</v>
      </c>
      <c r="E21" s="7">
        <f>'水重计算'!I21</f>
        <v>10</v>
      </c>
      <c r="F21" s="7">
        <f>'水重计算'!D21</f>
        <v>29.311</v>
      </c>
      <c r="G21" s="7">
        <f>'水重计算'!J21</f>
        <v>35.189</v>
      </c>
      <c r="H21" s="7">
        <f t="shared" si="0"/>
        <v>43.36726569188452</v>
      </c>
      <c r="I21" s="7">
        <f t="shared" si="1"/>
        <v>40.64881004467257</v>
      </c>
      <c r="J21" s="13"/>
    </row>
    <row r="22" spans="1:10" ht="14.25">
      <c r="A22" s="5">
        <v>18</v>
      </c>
      <c r="B22" s="7">
        <f>'水重计算'!B22+'钢管自重计算'!B22</f>
        <v>5.470000000000001</v>
      </c>
      <c r="C22" s="7">
        <f>'水重计算'!H22+'钢管自重计算'!H22</f>
        <v>5.470000000000001</v>
      </c>
      <c r="D22" s="7">
        <f>'水重计算'!C22</f>
        <v>10</v>
      </c>
      <c r="E22" s="7">
        <f>'水重计算'!I22</f>
        <v>10</v>
      </c>
      <c r="F22" s="7">
        <f>'水重计算'!D22</f>
        <v>35.189</v>
      </c>
      <c r="G22" s="7">
        <f>'水重计算'!J22</f>
        <v>9.463000000000001</v>
      </c>
      <c r="H22" s="7">
        <f t="shared" si="0"/>
        <v>40.64881004467257</v>
      </c>
      <c r="I22" s="7">
        <f t="shared" si="1"/>
        <v>49.05126732781591</v>
      </c>
      <c r="J22" s="13"/>
    </row>
    <row r="23" spans="1:10" ht="14.25">
      <c r="A23" s="5">
        <v>19</v>
      </c>
      <c r="B23" s="7">
        <f>'水重计算'!B23+'钢管自重计算'!B23</f>
        <v>5.470000000000001</v>
      </c>
      <c r="C23" s="7">
        <f>'水重计算'!H23+'钢管自重计算'!H23</f>
        <v>5.779999999999999</v>
      </c>
      <c r="D23" s="7">
        <f>'水重计算'!C23</f>
        <v>10</v>
      </c>
      <c r="E23" s="7">
        <f>'水重计算'!I23</f>
        <v>10</v>
      </c>
      <c r="F23" s="7">
        <f>'水重计算'!D23</f>
        <v>9.463000000000001</v>
      </c>
      <c r="G23" s="7">
        <f>'水重计算'!J23</f>
        <v>5.473000000000001</v>
      </c>
      <c r="H23" s="7">
        <f t="shared" si="0"/>
        <v>49.05126732781591</v>
      </c>
      <c r="I23" s="7">
        <f t="shared" si="1"/>
        <v>52.3061557979853</v>
      </c>
      <c r="J23" s="13"/>
    </row>
    <row r="24" spans="1:10" ht="14.25">
      <c r="A24" s="5">
        <v>20</v>
      </c>
      <c r="B24" s="7">
        <f>'水重计算'!B24+'钢管自重计算'!B24</f>
        <v>5.779999999999999</v>
      </c>
      <c r="C24" s="7">
        <f>'水重计算'!H24+'钢管自重计算'!H24</f>
        <v>5.779999999999999</v>
      </c>
      <c r="D24" s="7">
        <f>'水重计算'!C24</f>
        <v>10</v>
      </c>
      <c r="E24" s="7">
        <f>'水重计算'!I24</f>
        <v>10</v>
      </c>
      <c r="F24" s="7">
        <f>'水重计算'!D24</f>
        <v>5.473000000000001</v>
      </c>
      <c r="G24" s="7">
        <f>'水重计算'!J24</f>
        <v>13.322000000000001</v>
      </c>
      <c r="H24" s="7">
        <f t="shared" si="0"/>
        <v>52.3061557979853</v>
      </c>
      <c r="I24" s="7">
        <f t="shared" si="1"/>
        <v>51.13290779847335</v>
      </c>
      <c r="J24" s="13"/>
    </row>
    <row r="25" spans="1:10" ht="14.25">
      <c r="A25" s="5">
        <v>21</v>
      </c>
      <c r="B25" s="7">
        <f>'水重计算'!B25+'钢管自重计算'!B25</f>
        <v>5.779999999999999</v>
      </c>
      <c r="C25" s="7">
        <f>'水重计算'!H25+'钢管自重计算'!H25</f>
        <v>5.779999999999999</v>
      </c>
      <c r="D25" s="7">
        <f>'水重计算'!C25</f>
        <v>10</v>
      </c>
      <c r="E25" s="7">
        <f>'水重计算'!I25</f>
        <v>10</v>
      </c>
      <c r="F25" s="7">
        <f>'水重计算'!D25</f>
        <v>13.322000000000001</v>
      </c>
      <c r="G25" s="7">
        <f>'水重计算'!J25</f>
        <v>24.51</v>
      </c>
      <c r="H25" s="7">
        <f t="shared" si="0"/>
        <v>51.13290779847335</v>
      </c>
      <c r="I25" s="7">
        <f t="shared" si="1"/>
        <v>47.81525100939254</v>
      </c>
      <c r="J25" s="13"/>
    </row>
    <row r="26" spans="1:10" ht="14.25">
      <c r="A26" s="5">
        <v>22</v>
      </c>
      <c r="B26" s="7">
        <f>'水重计算'!B26+'钢管自重计算'!B26</f>
        <v>5.779999999999999</v>
      </c>
      <c r="C26" s="7">
        <f>'水重计算'!H26+'钢管自重计算'!H26</f>
        <v>6.08</v>
      </c>
      <c r="D26" s="7">
        <f>'水重计算'!C26</f>
        <v>10</v>
      </c>
      <c r="E26" s="7">
        <f>'水重计算'!I26</f>
        <v>10</v>
      </c>
      <c r="F26" s="7">
        <f>'水重计算'!D26</f>
        <v>24.51</v>
      </c>
      <c r="G26" s="7">
        <f>'水重计算'!J26</f>
        <v>25.807000000000002</v>
      </c>
      <c r="H26" s="7">
        <f t="shared" si="0"/>
        <v>47.81525100939254</v>
      </c>
      <c r="I26" s="7">
        <f t="shared" si="1"/>
        <v>49.76562768043677</v>
      </c>
      <c r="J26" s="13"/>
    </row>
    <row r="27" spans="1:10" ht="14.25">
      <c r="A27" s="5">
        <v>23</v>
      </c>
      <c r="B27" s="7">
        <f>'水重计算'!B27+'钢管自重计算'!B27</f>
        <v>6.08</v>
      </c>
      <c r="C27" s="7">
        <f>'水重计算'!H27+'钢管自重计算'!H27</f>
        <v>6.390000000000001</v>
      </c>
      <c r="D27" s="7">
        <f>'水重计算'!C27</f>
        <v>10</v>
      </c>
      <c r="E27" s="7">
        <f>'水重计算'!I27</f>
        <v>10</v>
      </c>
      <c r="F27" s="7">
        <f>'水重计算'!D27</f>
        <v>25.807000000000002</v>
      </c>
      <c r="G27" s="7">
        <f>'水重计算'!J27</f>
        <v>25.807000000000002</v>
      </c>
      <c r="H27" s="7">
        <f t="shared" si="0"/>
        <v>49.76562768043677</v>
      </c>
      <c r="I27" s="7">
        <f t="shared" si="1"/>
        <v>52.30301988124852</v>
      </c>
      <c r="J27" s="13"/>
    </row>
    <row r="28" spans="1:10" ht="14.25">
      <c r="A28" s="5">
        <v>24</v>
      </c>
      <c r="B28" s="7">
        <f>'水重计算'!B28+'钢管自重计算'!B28</f>
        <v>6.390000000000001</v>
      </c>
      <c r="C28" s="7">
        <f>'水重计算'!H28+'钢管自重计算'!H28</f>
        <v>6.390000000000001</v>
      </c>
      <c r="D28" s="7">
        <f>'水重计算'!C28</f>
        <v>10</v>
      </c>
      <c r="E28" s="7">
        <f>'水重计算'!I28</f>
        <v>10</v>
      </c>
      <c r="F28" s="7">
        <f>'水重计算'!D28</f>
        <v>25.807000000000002</v>
      </c>
      <c r="G28" s="7">
        <f>'水重计算'!J28</f>
        <v>26.844</v>
      </c>
      <c r="H28" s="7">
        <f t="shared" si="0"/>
        <v>52.30301988124852</v>
      </c>
      <c r="I28" s="7">
        <f t="shared" si="1"/>
        <v>51.83722145485781</v>
      </c>
      <c r="J28" s="13"/>
    </row>
    <row r="29" spans="1:10" ht="14.25">
      <c r="A29" s="5">
        <v>25</v>
      </c>
      <c r="B29" s="7">
        <f>'水重计算'!B29+'钢管自重计算'!B29</f>
        <v>6.390000000000001</v>
      </c>
      <c r="C29" s="7">
        <f>'水重计算'!H29+'钢管自重计算'!H29</f>
        <v>6.390000000000001</v>
      </c>
      <c r="D29" s="7">
        <f>'水重计算'!C29</f>
        <v>10</v>
      </c>
      <c r="E29" s="7">
        <f>'水重计算'!I29</f>
        <v>10</v>
      </c>
      <c r="F29" s="7">
        <f>'水重计算'!D29</f>
        <v>26.844</v>
      </c>
      <c r="G29" s="7">
        <f>'水重计算'!J29</f>
        <v>22.153000000000002</v>
      </c>
      <c r="H29" s="7">
        <f t="shared" si="0"/>
        <v>51.83722145485781</v>
      </c>
      <c r="I29" s="7">
        <f t="shared" si="1"/>
        <v>53.80694343143156</v>
      </c>
      <c r="J29" s="13"/>
    </row>
    <row r="30" spans="1:10" ht="14.25">
      <c r="A30" s="5">
        <v>26</v>
      </c>
      <c r="B30" s="7">
        <f>'水重计算'!B30+'钢管自重计算'!B30</f>
        <v>6.390000000000001</v>
      </c>
      <c r="C30" s="7">
        <f>'水重计算'!H30+'钢管自重计算'!H30</f>
        <v>6.390000000000001</v>
      </c>
      <c r="D30" s="7">
        <f>'水重计算'!C30</f>
        <v>10</v>
      </c>
      <c r="E30" s="7">
        <f>'水重计算'!I30</f>
        <v>10</v>
      </c>
      <c r="F30" s="7">
        <f>'水重计算'!D30</f>
        <v>22.153000000000002</v>
      </c>
      <c r="G30" s="7">
        <f>'水重计算'!J30</f>
        <v>18.296</v>
      </c>
      <c r="H30" s="7">
        <f t="shared" si="0"/>
        <v>53.80694343143156</v>
      </c>
      <c r="I30" s="7">
        <f t="shared" si="1"/>
        <v>55.15721381816607</v>
      </c>
      <c r="J30" s="13"/>
    </row>
    <row r="31" spans="1:9" ht="14.25">
      <c r="A31" s="5">
        <v>27</v>
      </c>
      <c r="B31" s="7">
        <f>'水重计算'!B31+'钢管自重计算'!B31</f>
        <v>6.390000000000001</v>
      </c>
      <c r="C31" s="7">
        <f>'水重计算'!H31+'钢管自重计算'!H31</f>
        <v>6.390000000000001</v>
      </c>
      <c r="D31" s="7">
        <f>'水重计算'!C31</f>
        <v>10</v>
      </c>
      <c r="E31" s="7">
        <f>'水重计算'!I31</f>
        <v>10</v>
      </c>
      <c r="F31" s="7">
        <f>'水重计算'!D31</f>
        <v>18.296</v>
      </c>
      <c r="G31" s="7">
        <f>'水重计算'!J31</f>
        <v>29.942999999999998</v>
      </c>
      <c r="H31" s="7">
        <f t="shared" si="0"/>
        <v>55.15721381816607</v>
      </c>
      <c r="I31" s="7">
        <f t="shared" si="1"/>
        <v>50.34475382643598</v>
      </c>
    </row>
    <row r="32" spans="1:9" ht="14.25">
      <c r="A32" s="5">
        <v>28</v>
      </c>
      <c r="B32" s="7">
        <f>'水重计算'!B32+'钢管自重计算'!B32</f>
        <v>6.390000000000001</v>
      </c>
      <c r="C32" s="7">
        <f>'水重计算'!H32+'钢管自重计算'!H32</f>
        <v>5</v>
      </c>
      <c r="D32" s="7">
        <f>'水重计算'!C32</f>
        <v>10</v>
      </c>
      <c r="E32" s="7">
        <f>'水重计算'!I32</f>
        <v>2</v>
      </c>
      <c r="F32" s="7">
        <f>'水重计算'!D32</f>
        <v>29.942999999999998</v>
      </c>
      <c r="G32" s="7">
        <f>'水重计算'!J32</f>
        <v>0</v>
      </c>
      <c r="H32" s="7">
        <f t="shared" si="0"/>
        <v>50.34475382643598</v>
      </c>
      <c r="I32" s="7">
        <f t="shared" si="1"/>
        <v>1.8181818181818181</v>
      </c>
    </row>
    <row r="33" spans="1:9" ht="14.25">
      <c r="A33" s="40" t="s">
        <v>188</v>
      </c>
      <c r="B33" s="7">
        <f>'水重计算'!B33+'钢管自重计算'!B33</f>
        <v>4.3100000000000005</v>
      </c>
      <c r="C33" s="7">
        <f>'水重计算'!H33+'钢管自重计算'!H33</f>
        <v>3.21</v>
      </c>
      <c r="D33" s="7">
        <f>'水重计算'!C33</f>
        <v>10</v>
      </c>
      <c r="E33" s="7">
        <f>'水重计算'!I33</f>
        <v>2</v>
      </c>
      <c r="F33" s="7">
        <f>'水重计算'!D33</f>
        <v>29.943</v>
      </c>
      <c r="G33" s="7">
        <f>'水重计算'!J33</f>
        <v>29.943</v>
      </c>
      <c r="H33" s="7">
        <f t="shared" si="0"/>
        <v>33.95710312862897</v>
      </c>
      <c r="I33" s="7">
        <f t="shared" si="1"/>
        <v>1.0116222834607793</v>
      </c>
    </row>
    <row r="34" spans="1:9" ht="14.25">
      <c r="A34" s="41">
        <v>29</v>
      </c>
      <c r="B34" s="7">
        <f>'水重计算'!B34+'钢管自重计算'!B34</f>
        <v>2.52</v>
      </c>
      <c r="C34" s="7">
        <f>'水重计算'!H34+'钢管自重计算'!H34</f>
        <v>3.21</v>
      </c>
      <c r="D34" s="7">
        <f>'水重计算'!C34</f>
        <v>10</v>
      </c>
      <c r="E34" s="7">
        <f>'水重计算'!I34</f>
        <v>2</v>
      </c>
      <c r="F34" s="7">
        <f>'水重计算'!D34</f>
        <v>29.943</v>
      </c>
      <c r="G34" s="7">
        <f>'水重计算'!J34</f>
        <v>0</v>
      </c>
      <c r="H34" s="7">
        <f t="shared" si="0"/>
        <v>19.85426911465081</v>
      </c>
      <c r="I34" s="7">
        <f t="shared" si="1"/>
        <v>1.1672727272727272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8" sqref="G38"/>
    </sheetView>
  </sheetViews>
  <sheetFormatPr defaultColWidth="9.00390625" defaultRowHeight="14.25"/>
  <cols>
    <col min="1" max="1" width="5.50390625" style="0" bestFit="1" customWidth="1"/>
    <col min="2" max="2" width="9.50390625" style="0" customWidth="1"/>
    <col min="3" max="3" width="6.875" style="0" customWidth="1"/>
    <col min="4" max="4" width="6.75390625" style="0" customWidth="1"/>
    <col min="5" max="5" width="9.75390625" style="0" customWidth="1"/>
    <col min="6" max="6" width="7.125" style="0" customWidth="1"/>
    <col min="7" max="7" width="6.375" style="0" customWidth="1"/>
    <col min="8" max="8" width="5.75390625" style="0" customWidth="1"/>
    <col min="9" max="10" width="9.25390625" style="0" customWidth="1"/>
    <col min="11" max="11" width="11.00390625" style="0" customWidth="1"/>
    <col min="12" max="12" width="9.125" style="0" customWidth="1"/>
    <col min="13" max="13" width="9.875" style="0" customWidth="1"/>
    <col min="14" max="14" width="10.00390625" style="0" bestFit="1" customWidth="1"/>
    <col min="15" max="15" width="8.875" style="0" customWidth="1"/>
  </cols>
  <sheetData>
    <row r="1" spans="1:14" ht="14.25">
      <c r="A1" s="61" t="s">
        <v>141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ht="19.5" customHeight="1">
      <c r="A2" s="5" t="s">
        <v>1</v>
      </c>
      <c r="B2" s="5" t="s">
        <v>131</v>
      </c>
      <c r="C2" s="6" t="s">
        <v>46</v>
      </c>
      <c r="D2" s="7" t="s">
        <v>130</v>
      </c>
      <c r="E2" s="7" t="s">
        <v>117</v>
      </c>
      <c r="F2" s="15" t="s">
        <v>45</v>
      </c>
      <c r="G2" s="17" t="s">
        <v>132</v>
      </c>
      <c r="H2" s="17" t="s">
        <v>133</v>
      </c>
      <c r="I2" s="7" t="s">
        <v>134</v>
      </c>
      <c r="J2" s="7" t="s">
        <v>135</v>
      </c>
      <c r="K2" s="7" t="s">
        <v>136</v>
      </c>
      <c r="L2" s="7" t="s">
        <v>137</v>
      </c>
      <c r="M2" s="15" t="s">
        <v>138</v>
      </c>
      <c r="N2" s="17" t="s">
        <v>139</v>
      </c>
      <c r="O2" s="17" t="s">
        <v>140</v>
      </c>
    </row>
    <row r="3" spans="1:15" ht="14.25">
      <c r="A3" s="5">
        <v>0</v>
      </c>
      <c r="B3" s="5">
        <f>'上管段轴向合力'!J3</f>
        <v>21.146928846061204</v>
      </c>
      <c r="C3" s="5">
        <f>'镇墩上下游面作用的弯矩'!F3</f>
        <v>0</v>
      </c>
      <c r="D3" s="7">
        <f>'夹角计算'!G4</f>
        <v>11.23</v>
      </c>
      <c r="E3" s="7">
        <f>'下管段轴向合力'!J3</f>
        <v>-86.80321227372258</v>
      </c>
      <c r="F3" s="7">
        <f>'镇墩上下游面作用的弯矩'!G3</f>
        <v>4.861</v>
      </c>
      <c r="G3" s="7">
        <v>0.5</v>
      </c>
      <c r="H3" s="7">
        <v>1.6</v>
      </c>
      <c r="I3" s="7">
        <f>B3*COS(3.14*C3/180)+E3*COS(3.14*F3/180)*COS(3.14*D3/180)</f>
        <v>-63.69003824478055</v>
      </c>
      <c r="J3" s="7">
        <f>B3*SIN(3.14*C3/180)+E3*SIN(3.14*F3/180)</f>
        <v>-7.3518724363506704</v>
      </c>
      <c r="K3" s="7">
        <f>E3*COS(3.14*F3/180)*SIN(3.14*D3/180)</f>
        <v>-16.83557684025127</v>
      </c>
      <c r="L3" s="7">
        <f>IF(D3=0,0,SQRT(I3^2+K3^2))</f>
        <v>65.87759573000228</v>
      </c>
      <c r="M3" s="7">
        <f>IF(D3=0,H3*I3/G3-J3,H3*L3/G3-J3)</f>
        <v>218.160178772358</v>
      </c>
      <c r="N3" s="7">
        <f>M3/22</f>
        <v>9.916371762379908</v>
      </c>
      <c r="O3" s="7">
        <f>IF(N3&lt;40,N3,((H3*I3-G3*J3)/(G3*COS(10*3.14/180)+H3*SIN(10*3.14/180))/22))</f>
        <v>9.916371762379908</v>
      </c>
    </row>
    <row r="4" spans="1:15" ht="14.25">
      <c r="A4" s="5">
        <v>1</v>
      </c>
      <c r="B4" s="5">
        <f>'上管段轴向合力'!J4</f>
        <v>119.39769259550911</v>
      </c>
      <c r="C4" s="5">
        <f>'镇墩上下游面作用的弯矩'!F4</f>
        <v>4.861</v>
      </c>
      <c r="D4" s="7">
        <f>'夹角计算'!G5</f>
        <v>26.957</v>
      </c>
      <c r="E4" s="7">
        <f>'下管段轴向合力'!J4</f>
        <v>-148.85480555897888</v>
      </c>
      <c r="F4" s="7">
        <f>'镇墩上下游面作用的弯矩'!G4</f>
        <v>7.461</v>
      </c>
      <c r="G4" s="7">
        <v>0.5</v>
      </c>
      <c r="H4" s="7">
        <v>1.6</v>
      </c>
      <c r="I4" s="7">
        <f aca="true" t="shared" si="0" ref="I4:I36">B4*COS(3.14*C4/180)+E4*COS(3.14*F4/180)*COS(3.14*D4/180)</f>
        <v>-12.606347102668494</v>
      </c>
      <c r="J4" s="7">
        <f aca="true" t="shared" si="1" ref="J4:J37">B4*SIN(3.14*C4/180)+E4*SIN(3.14*F4/180)</f>
        <v>-9.206757602612312</v>
      </c>
      <c r="K4" s="7">
        <f aca="true" t="shared" si="2" ref="K4:K33">E4*COS(3.14*F4/180)*SIN(3.14*D4/180)</f>
        <v>-66.87699426783182</v>
      </c>
      <c r="L4" s="7">
        <f aca="true" t="shared" si="3" ref="L4:L33">IF(D4=0,0,SQRT(I4^2+K4^2))</f>
        <v>68.0547746272998</v>
      </c>
      <c r="M4" s="7">
        <f aca="true" t="shared" si="4" ref="M4:M33">IF(D4=0,H4*I4/G4-J4,H4*L4/G4-J4)</f>
        <v>226.9820364099717</v>
      </c>
      <c r="N4" s="7">
        <f aca="true" t="shared" si="5" ref="N4:N33">M4/22</f>
        <v>10.31736529136235</v>
      </c>
      <c r="O4" s="7">
        <f aca="true" t="shared" si="6" ref="O4:O33">IF(N4&lt;40,N4,((H4*I4-G4*J4)/(G4*COS(10*3.14/180)+H4*SIN(10*3.14/180))/22))</f>
        <v>10.31736529136235</v>
      </c>
    </row>
    <row r="5" spans="1:15" ht="15.75">
      <c r="A5" s="6" t="s">
        <v>158</v>
      </c>
      <c r="B5" s="5">
        <f>'上管段轴向合力'!J5</f>
        <v>195.7380368166115</v>
      </c>
      <c r="C5" s="5">
        <f>'镇墩上下游面作用的弯矩'!F5</f>
        <v>7.461</v>
      </c>
      <c r="D5" s="7">
        <f>'夹角计算'!G6</f>
        <v>4.698</v>
      </c>
      <c r="E5" s="7">
        <f>'下管段轴向合力'!J5</f>
        <v>-179.3460410794539</v>
      </c>
      <c r="F5" s="7">
        <f>'镇墩上下游面作用的弯矩'!G5</f>
        <v>11.414</v>
      </c>
      <c r="G5" s="7">
        <v>0.5</v>
      </c>
      <c r="H5" s="7">
        <v>1.6</v>
      </c>
      <c r="I5" s="7">
        <f t="shared" si="0"/>
        <v>18.869878407302906</v>
      </c>
      <c r="J5" s="7">
        <f t="shared" si="1"/>
        <v>-10.070236396596176</v>
      </c>
      <c r="K5" s="7">
        <f t="shared" si="2"/>
        <v>-14.39160934125166</v>
      </c>
      <c r="L5" s="7">
        <f t="shared" si="3"/>
        <v>23.73163986195641</v>
      </c>
      <c r="M5" s="7">
        <f t="shared" si="4"/>
        <v>86.01148395485669</v>
      </c>
      <c r="N5" s="7">
        <f t="shared" si="5"/>
        <v>3.9096129070389405</v>
      </c>
      <c r="O5" s="7">
        <f t="shared" si="6"/>
        <v>3.9096129070389405</v>
      </c>
    </row>
    <row r="6" spans="1:15" ht="14.25">
      <c r="A6" s="5">
        <v>2</v>
      </c>
      <c r="B6" s="5">
        <f>'上管段轴向合力'!J6</f>
        <v>278.5711095056774</v>
      </c>
      <c r="C6" s="5">
        <f>'镇墩上下游面作用的弯矩'!F6</f>
        <v>11.414</v>
      </c>
      <c r="D6" s="7">
        <f>'夹角计算'!G7</f>
        <v>55.788</v>
      </c>
      <c r="E6" s="7">
        <f>'下管段轴向合力'!J6</f>
        <v>-292.8975012313283</v>
      </c>
      <c r="F6" s="7">
        <f>'镇墩上下游面作用的弯矩'!G6</f>
        <v>12.395</v>
      </c>
      <c r="G6" s="7">
        <v>0.5</v>
      </c>
      <c r="H6" s="7">
        <v>1.6</v>
      </c>
      <c r="I6" s="7">
        <f t="shared" si="0"/>
        <v>112.10175557674245</v>
      </c>
      <c r="J6" s="7">
        <f t="shared" si="1"/>
        <v>-7.738331872230603</v>
      </c>
      <c r="K6" s="7">
        <f t="shared" si="2"/>
        <v>-236.4958275495544</v>
      </c>
      <c r="L6" s="7">
        <f t="shared" si="3"/>
        <v>261.7194682321823</v>
      </c>
      <c r="M6" s="7">
        <f t="shared" si="4"/>
        <v>845.240630215214</v>
      </c>
      <c r="N6" s="7">
        <f t="shared" si="5"/>
        <v>38.420028646146086</v>
      </c>
      <c r="O6" s="7">
        <f t="shared" si="6"/>
        <v>38.420028646146086</v>
      </c>
    </row>
    <row r="7" spans="1:15" ht="14.25">
      <c r="A7" s="5">
        <v>3</v>
      </c>
      <c r="B7" s="5">
        <f>'上管段轴向合力'!J7</f>
        <v>414.08001005950604</v>
      </c>
      <c r="C7" s="5">
        <f>'镇墩上下游面作用的弯矩'!F7</f>
        <v>12.395</v>
      </c>
      <c r="D7" s="7">
        <f>'夹角计算'!G8</f>
        <v>43.734</v>
      </c>
      <c r="E7" s="7">
        <f>'下管段轴向合力'!J7</f>
        <v>-470.20826411132975</v>
      </c>
      <c r="F7" s="7">
        <f>'镇墩上下游面作用的弯矩'!G7</f>
        <v>4.368</v>
      </c>
      <c r="G7" s="7">
        <v>0.5</v>
      </c>
      <c r="H7" s="7">
        <v>1.6</v>
      </c>
      <c r="I7" s="7">
        <f t="shared" si="0"/>
        <v>65.54611237123072</v>
      </c>
      <c r="J7" s="7">
        <f t="shared" si="1"/>
        <v>53.04400326470565</v>
      </c>
      <c r="K7" s="7">
        <f t="shared" si="2"/>
        <v>-323.98597658995476</v>
      </c>
      <c r="L7" s="7">
        <f t="shared" si="3"/>
        <v>330.5498538404286</v>
      </c>
      <c r="M7" s="7">
        <f t="shared" si="4"/>
        <v>1004.715529024666</v>
      </c>
      <c r="N7" s="7">
        <f t="shared" si="5"/>
        <v>45.66888768293936</v>
      </c>
      <c r="O7" s="7">
        <f t="shared" si="6"/>
        <v>4.624596566511957</v>
      </c>
    </row>
    <row r="8" spans="1:15" ht="14.25">
      <c r="A8" s="5">
        <v>4</v>
      </c>
      <c r="B8" s="5">
        <f>'上管段轴向合力'!J8</f>
        <v>501.20183135788517</v>
      </c>
      <c r="C8" s="5">
        <f>'镇墩上下游面作用的弯矩'!F8</f>
        <v>4.368</v>
      </c>
      <c r="D8" s="7">
        <f>'夹角计算'!G9</f>
        <v>0</v>
      </c>
      <c r="E8" s="7">
        <f>'下管段轴向合力'!J8</f>
        <v>-525.2737049531927</v>
      </c>
      <c r="F8" s="7">
        <f>'镇墩上下游面作用的弯矩'!G8</f>
        <v>4.368</v>
      </c>
      <c r="G8" s="7">
        <v>0.5</v>
      </c>
      <c r="H8" s="7">
        <v>1.6</v>
      </c>
      <c r="I8" s="7">
        <f t="shared" si="0"/>
        <v>-24.002026346203195</v>
      </c>
      <c r="J8" s="7">
        <f t="shared" si="1"/>
        <v>-1.8324381748461462</v>
      </c>
      <c r="K8" s="7">
        <f t="shared" si="2"/>
        <v>0</v>
      </c>
      <c r="L8" s="7">
        <f t="shared" si="3"/>
        <v>0</v>
      </c>
      <c r="M8" s="7">
        <f t="shared" si="4"/>
        <v>-74.97404613300408</v>
      </c>
      <c r="N8" s="7">
        <f t="shared" si="5"/>
        <v>-3.4079111878638217</v>
      </c>
      <c r="O8" s="7">
        <f t="shared" si="6"/>
        <v>-3.4079111878638217</v>
      </c>
    </row>
    <row r="9" spans="1:15" ht="14.25">
      <c r="A9" s="5">
        <v>5</v>
      </c>
      <c r="B9" s="5">
        <f>'上管段轴向合力'!J9</f>
        <v>558.9521918325744</v>
      </c>
      <c r="C9" s="5">
        <f>'镇墩上下游面作用的弯矩'!F9</f>
        <v>4.368</v>
      </c>
      <c r="D9" s="7">
        <f>'夹角计算'!G10</f>
        <v>0</v>
      </c>
      <c r="E9" s="7">
        <f>'下管段轴向合力'!J9</f>
        <v>-533.6460154331335</v>
      </c>
      <c r="F9" s="7">
        <f>'镇墩上下游面作用的弯矩'!G9</f>
        <v>11.760000000000002</v>
      </c>
      <c r="G9" s="7">
        <v>0.3</v>
      </c>
      <c r="H9" s="7">
        <v>1.6</v>
      </c>
      <c r="I9" s="7">
        <f t="shared" si="0"/>
        <v>34.874274346679385</v>
      </c>
      <c r="J9" s="7">
        <f t="shared" si="1"/>
        <v>-66.15996717879383</v>
      </c>
      <c r="K9" s="7">
        <f t="shared" si="2"/>
        <v>0</v>
      </c>
      <c r="L9" s="7">
        <f t="shared" si="3"/>
        <v>0</v>
      </c>
      <c r="M9" s="7">
        <f t="shared" si="4"/>
        <v>252.15609702775058</v>
      </c>
      <c r="N9" s="7">
        <f t="shared" si="5"/>
        <v>11.461640773988663</v>
      </c>
      <c r="O9" s="7">
        <f t="shared" si="6"/>
        <v>11.461640773988663</v>
      </c>
    </row>
    <row r="10" spans="1:15" ht="14.25">
      <c r="A10" s="5">
        <v>6</v>
      </c>
      <c r="B10" s="5">
        <f>'上管段轴向合力'!J10</f>
        <v>712.2629819384306</v>
      </c>
      <c r="C10" s="5">
        <f>'镇墩上下游面作用的弯矩'!F10</f>
        <v>11.760000000000002</v>
      </c>
      <c r="D10" s="7">
        <f>'夹角计算'!G11</f>
        <v>0</v>
      </c>
      <c r="E10" s="7">
        <f>'下管段轴向合力'!J10</f>
        <v>-733.3643878455026</v>
      </c>
      <c r="F10" s="7">
        <f>'镇墩上下游面作用的弯矩'!G10</f>
        <v>5.9380000000000015</v>
      </c>
      <c r="G10" s="7">
        <v>0.3</v>
      </c>
      <c r="H10" s="7">
        <v>1.6</v>
      </c>
      <c r="I10" s="7">
        <f t="shared" si="0"/>
        <v>-32.10582726795508</v>
      </c>
      <c r="J10" s="7">
        <f t="shared" si="1"/>
        <v>69.2657744443156</v>
      </c>
      <c r="K10" s="7">
        <f t="shared" si="2"/>
        <v>0</v>
      </c>
      <c r="L10" s="7">
        <f t="shared" si="3"/>
        <v>0</v>
      </c>
      <c r="M10" s="7">
        <f t="shared" si="4"/>
        <v>-240.49685320674268</v>
      </c>
      <c r="N10" s="7">
        <f t="shared" si="5"/>
        <v>-10.931675145761032</v>
      </c>
      <c r="O10" s="7">
        <f t="shared" si="6"/>
        <v>-10.931675145761032</v>
      </c>
    </row>
    <row r="11" spans="1:15" ht="14.25">
      <c r="A11" s="5">
        <v>7</v>
      </c>
      <c r="B11" s="5">
        <f>'上管段轴向合力'!J11</f>
        <v>793.5531814634685</v>
      </c>
      <c r="C11" s="5">
        <f>'镇墩上下游面作用的弯矩'!F11</f>
        <v>5.9380000000000015</v>
      </c>
      <c r="D11" s="7">
        <f>'夹角计算'!G12</f>
        <v>0</v>
      </c>
      <c r="E11" s="7">
        <f>'下管段轴向合力'!J11</f>
        <v>-830.2255394501873</v>
      </c>
      <c r="F11" s="7">
        <f>'镇墩上下游面作用的弯矩'!G11</f>
        <v>5.9380000000000015</v>
      </c>
      <c r="G11" s="7">
        <v>0.3</v>
      </c>
      <c r="H11" s="7">
        <v>1.6</v>
      </c>
      <c r="I11" s="7">
        <f t="shared" si="0"/>
        <v>-36.47578893145965</v>
      </c>
      <c r="J11" s="7">
        <f t="shared" si="1"/>
        <v>-3.7919206391565297</v>
      </c>
      <c r="K11" s="7">
        <f t="shared" si="2"/>
        <v>0</v>
      </c>
      <c r="L11" s="7">
        <f t="shared" si="3"/>
        <v>0</v>
      </c>
      <c r="M11" s="7">
        <f t="shared" si="4"/>
        <v>-190.74562032862826</v>
      </c>
      <c r="N11" s="7">
        <f t="shared" si="5"/>
        <v>-8.670255469483102</v>
      </c>
      <c r="O11" s="7">
        <f t="shared" si="6"/>
        <v>-8.670255469483102</v>
      </c>
    </row>
    <row r="12" spans="1:15" ht="14.25">
      <c r="A12" s="5">
        <v>8</v>
      </c>
      <c r="B12" s="5">
        <f>'上管段轴向合力'!J12</f>
        <v>887.6505143593319</v>
      </c>
      <c r="C12" s="5">
        <f>'镇墩上下游面作用的弯矩'!F12</f>
        <v>5.9380000000000015</v>
      </c>
      <c r="D12" s="7">
        <f>'夹角计算'!G13</f>
        <v>0</v>
      </c>
      <c r="E12" s="7">
        <f>'下管段轴向合力'!J12</f>
        <v>-905.766933779863</v>
      </c>
      <c r="F12" s="7">
        <f>'镇墩上下游面作用的弯矩'!G12</f>
        <v>5.9380000000000015</v>
      </c>
      <c r="G12" s="7">
        <v>0.3</v>
      </c>
      <c r="H12" s="7">
        <v>1.6</v>
      </c>
      <c r="I12" s="7">
        <f t="shared" si="0"/>
        <v>-18.019312835471624</v>
      </c>
      <c r="J12" s="7">
        <f t="shared" si="1"/>
        <v>-1.8732371867990452</v>
      </c>
      <c r="K12" s="7">
        <f t="shared" si="2"/>
        <v>0</v>
      </c>
      <c r="L12" s="7">
        <f t="shared" si="3"/>
        <v>0</v>
      </c>
      <c r="M12" s="7">
        <f t="shared" si="4"/>
        <v>-94.22976460238296</v>
      </c>
      <c r="N12" s="7">
        <f t="shared" si="5"/>
        <v>-4.283171118290134</v>
      </c>
      <c r="O12" s="7">
        <f t="shared" si="6"/>
        <v>-4.283171118290134</v>
      </c>
    </row>
    <row r="13" spans="1:15" ht="14.25">
      <c r="A13" s="5">
        <v>9</v>
      </c>
      <c r="B13" s="5">
        <f>'上管段轴向合力'!J13</f>
        <v>956.1353358373882</v>
      </c>
      <c r="C13" s="5">
        <f>'镇墩上下游面作用的弯矩'!F13</f>
        <v>5.9380000000000015</v>
      </c>
      <c r="D13" s="7">
        <f>'夹角计算'!G14</f>
        <v>0</v>
      </c>
      <c r="E13" s="7">
        <f>'下管段轴向合力'!J13</f>
        <v>-932.489901909084</v>
      </c>
      <c r="F13" s="7">
        <f>'镇墩上下游面作用的弯矩'!G13</f>
        <v>13.747000000000002</v>
      </c>
      <c r="G13" s="7">
        <v>0.3</v>
      </c>
      <c r="H13" s="7">
        <v>1.6</v>
      </c>
      <c r="I13" s="7">
        <f t="shared" si="0"/>
        <v>45.20509268322155</v>
      </c>
      <c r="J13" s="7">
        <f t="shared" si="1"/>
        <v>-122.61772971656904</v>
      </c>
      <c r="K13" s="7">
        <f t="shared" si="2"/>
        <v>0</v>
      </c>
      <c r="L13" s="7">
        <f t="shared" si="3"/>
        <v>0</v>
      </c>
      <c r="M13" s="7">
        <f t="shared" si="4"/>
        <v>363.7115573604174</v>
      </c>
      <c r="N13" s="7">
        <f t="shared" si="5"/>
        <v>16.532343516382607</v>
      </c>
      <c r="O13" s="7">
        <f t="shared" si="6"/>
        <v>16.532343516382607</v>
      </c>
    </row>
    <row r="14" spans="1:15" ht="14.25">
      <c r="A14" s="5">
        <v>10</v>
      </c>
      <c r="B14" s="5">
        <f>'上管段轴向合力'!J14</f>
        <v>1177.8066176772636</v>
      </c>
      <c r="C14" s="5">
        <f>'镇墩上下游面作用的弯矩'!F14</f>
        <v>13.747000000000002</v>
      </c>
      <c r="D14" s="7">
        <f>'夹角计算'!G15</f>
        <v>34.87</v>
      </c>
      <c r="E14" s="7">
        <f>'下管段轴向合力'!J14</f>
        <v>-1110.4656916570104</v>
      </c>
      <c r="F14" s="7">
        <f>'镇墩上下游面作用的弯矩'!G14</f>
        <v>32.947</v>
      </c>
      <c r="G14" s="7">
        <v>0.3</v>
      </c>
      <c r="H14" s="7">
        <v>1.6</v>
      </c>
      <c r="I14" s="7">
        <f t="shared" si="0"/>
        <v>379.23579296320486</v>
      </c>
      <c r="J14" s="7">
        <f t="shared" si="1"/>
        <v>-323.92057785830804</v>
      </c>
      <c r="K14" s="7">
        <f t="shared" si="2"/>
        <v>-532.6322604954926</v>
      </c>
      <c r="L14" s="7">
        <f t="shared" si="3"/>
        <v>653.8477740154577</v>
      </c>
      <c r="M14" s="7">
        <f t="shared" si="4"/>
        <v>3811.1087059407496</v>
      </c>
      <c r="N14" s="7">
        <f t="shared" si="5"/>
        <v>173.2322139063977</v>
      </c>
      <c r="O14" s="7">
        <f t="shared" si="6"/>
        <v>55.828640446206805</v>
      </c>
    </row>
    <row r="15" spans="1:15" ht="14.25">
      <c r="A15" s="5">
        <v>11</v>
      </c>
      <c r="B15" s="5">
        <f>'上管段轴向合力'!J15</f>
        <v>1396.1519994113157</v>
      </c>
      <c r="C15" s="5">
        <f>'镇墩上下游面作用的弯矩'!F15</f>
        <v>32.947</v>
      </c>
      <c r="D15" s="7">
        <f>'夹角计算'!G16</f>
        <v>2.246</v>
      </c>
      <c r="E15" s="7">
        <f>'下管段轴向合力'!J15</f>
        <v>-1418.5787216784088</v>
      </c>
      <c r="F15" s="7">
        <f>'镇墩上下游面作用的弯矩'!G15</f>
        <v>35.249</v>
      </c>
      <c r="G15" s="7">
        <v>0.3</v>
      </c>
      <c r="H15" s="7">
        <v>1.6</v>
      </c>
      <c r="I15" s="7">
        <f t="shared" si="0"/>
        <v>13.985142940566448</v>
      </c>
      <c r="J15" s="7">
        <f t="shared" si="1"/>
        <v>-59.370459751150065</v>
      </c>
      <c r="K15" s="7">
        <f t="shared" si="2"/>
        <v>-45.38807259142552</v>
      </c>
      <c r="L15" s="7">
        <f t="shared" si="3"/>
        <v>47.49380334983279</v>
      </c>
      <c r="M15" s="7">
        <f t="shared" si="4"/>
        <v>312.6707442835916</v>
      </c>
      <c r="N15" s="7">
        <f t="shared" si="5"/>
        <v>14.212306558345073</v>
      </c>
      <c r="O15" s="7">
        <f t="shared" si="6"/>
        <v>14.212306558345073</v>
      </c>
    </row>
    <row r="16" spans="1:15" ht="14.25">
      <c r="A16" s="5">
        <v>12</v>
      </c>
      <c r="B16" s="5">
        <f>'上管段轴向合力'!J16</f>
        <v>1737.793550185414</v>
      </c>
      <c r="C16" s="5">
        <f>'镇墩上下游面作用的弯矩'!F16</f>
        <v>35.249</v>
      </c>
      <c r="D16" s="7">
        <f>'夹角计算'!G17</f>
        <v>0</v>
      </c>
      <c r="E16" s="7">
        <f>'下管段轴向合力'!J16</f>
        <v>-1753.7059832438865</v>
      </c>
      <c r="F16" s="7">
        <f>'镇墩上下游面作用的弯矩'!G16</f>
        <v>36.939</v>
      </c>
      <c r="G16" s="7">
        <v>0.3</v>
      </c>
      <c r="H16" s="7">
        <v>1.6</v>
      </c>
      <c r="I16" s="7">
        <f t="shared" si="0"/>
        <v>17.44556044454248</v>
      </c>
      <c r="J16" s="7">
        <f t="shared" si="1"/>
        <v>-50.96495282037347</v>
      </c>
      <c r="K16" s="7">
        <f t="shared" si="2"/>
        <v>0</v>
      </c>
      <c r="L16" s="7">
        <f t="shared" si="3"/>
        <v>0</v>
      </c>
      <c r="M16" s="7">
        <f t="shared" si="4"/>
        <v>144.00794185793336</v>
      </c>
      <c r="N16" s="7">
        <f t="shared" si="5"/>
        <v>6.545815538996971</v>
      </c>
      <c r="O16" s="7">
        <f t="shared" si="6"/>
        <v>6.545815538996971</v>
      </c>
    </row>
    <row r="17" spans="1:15" ht="14.25">
      <c r="A17" s="5">
        <v>13</v>
      </c>
      <c r="B17" s="5">
        <f>'上管段轴向合力'!J17</f>
        <v>1990.9858096581415</v>
      </c>
      <c r="C17" s="5">
        <f>'镇墩上下游面作用的弯矩'!F17</f>
        <v>36.939</v>
      </c>
      <c r="D17" s="7">
        <f>'夹角计算'!G18</f>
        <v>0</v>
      </c>
      <c r="E17" s="7">
        <f>'下管段轴向合力'!J17</f>
        <v>-1997.8526986584125</v>
      </c>
      <c r="F17" s="7">
        <f>'镇墩上下游面作用的弯矩'!G17</f>
        <v>35.259</v>
      </c>
      <c r="G17" s="7">
        <v>0.3</v>
      </c>
      <c r="H17" s="7">
        <v>1.6</v>
      </c>
      <c r="I17" s="7">
        <f t="shared" si="0"/>
        <v>-39.97039862844713</v>
      </c>
      <c r="J17" s="7">
        <f t="shared" si="1"/>
        <v>43.19309636202934</v>
      </c>
      <c r="K17" s="7">
        <f t="shared" si="2"/>
        <v>0</v>
      </c>
      <c r="L17" s="7">
        <f t="shared" si="3"/>
        <v>0</v>
      </c>
      <c r="M17" s="7">
        <f t="shared" si="4"/>
        <v>-256.36855571374736</v>
      </c>
      <c r="N17" s="7">
        <f t="shared" si="5"/>
        <v>-11.653116168806697</v>
      </c>
      <c r="O17" s="7">
        <f t="shared" si="6"/>
        <v>-11.653116168806697</v>
      </c>
    </row>
    <row r="18" spans="1:15" ht="14.25">
      <c r="A18" s="5">
        <v>14</v>
      </c>
      <c r="B18" s="5">
        <f>'上管段轴向合力'!J18</f>
        <v>2327.081409102246</v>
      </c>
      <c r="C18" s="5">
        <f>'镇墩上下游面作用的弯矩'!F18</f>
        <v>35.259</v>
      </c>
      <c r="D18" s="7">
        <f>'夹角计算'!G19</f>
        <v>0</v>
      </c>
      <c r="E18" s="7">
        <f>'下管段轴向合力'!J18</f>
        <v>-2306.4487369613807</v>
      </c>
      <c r="F18" s="7">
        <f>'镇墩上下游面作用的弯矩'!G18</f>
        <v>27.506</v>
      </c>
      <c r="G18" s="7">
        <v>0.3</v>
      </c>
      <c r="H18" s="7">
        <v>1.6</v>
      </c>
      <c r="I18" s="7">
        <f t="shared" si="0"/>
        <v>-145.3932725933355</v>
      </c>
      <c r="J18" s="7">
        <f t="shared" si="1"/>
        <v>278.0536374241335</v>
      </c>
      <c r="K18" s="7">
        <f t="shared" si="2"/>
        <v>0</v>
      </c>
      <c r="L18" s="7">
        <f t="shared" si="3"/>
        <v>0</v>
      </c>
      <c r="M18" s="7">
        <f t="shared" si="4"/>
        <v>-1053.4844245885897</v>
      </c>
      <c r="N18" s="7">
        <f t="shared" si="5"/>
        <v>-47.88565566311772</v>
      </c>
      <c r="O18" s="7">
        <f t="shared" si="6"/>
        <v>-47.88565566311772</v>
      </c>
    </row>
    <row r="19" spans="1:15" ht="14.25">
      <c r="A19" s="5">
        <v>15</v>
      </c>
      <c r="B19" s="5">
        <f>'上管段轴向合力'!J19</f>
        <v>2759.872838818559</v>
      </c>
      <c r="C19" s="5">
        <f>'镇墩上下游面作用的弯矩'!F19</f>
        <v>27.506</v>
      </c>
      <c r="D19" s="7">
        <f>'夹角计算'!G20</f>
        <v>0</v>
      </c>
      <c r="E19" s="7">
        <f>'下管段轴向合力'!J19</f>
        <v>-2567.4690917315297</v>
      </c>
      <c r="F19" s="7">
        <f>'镇墩上下游面作用的弯矩'!G19</f>
        <v>12.634</v>
      </c>
      <c r="G19" s="7">
        <v>0.3</v>
      </c>
      <c r="H19" s="7">
        <v>1.6</v>
      </c>
      <c r="I19" s="7">
        <f t="shared" si="0"/>
        <v>-57.15230432884482</v>
      </c>
      <c r="J19" s="7">
        <f t="shared" si="1"/>
        <v>712.7452674432907</v>
      </c>
      <c r="K19" s="7">
        <f t="shared" si="2"/>
        <v>0</v>
      </c>
      <c r="L19" s="7">
        <f t="shared" si="3"/>
        <v>0</v>
      </c>
      <c r="M19" s="7">
        <f t="shared" si="4"/>
        <v>-1017.5575571971298</v>
      </c>
      <c r="N19" s="7">
        <f t="shared" si="5"/>
        <v>-46.25261623623317</v>
      </c>
      <c r="O19" s="7">
        <f t="shared" si="6"/>
        <v>-46.25261623623317</v>
      </c>
    </row>
    <row r="20" spans="1:15" ht="14.25">
      <c r="A20" s="5">
        <v>16</v>
      </c>
      <c r="B20" s="5">
        <f>'上管段轴向合力'!J20</f>
        <v>2690.0955813229502</v>
      </c>
      <c r="C20" s="5">
        <f>'镇墩上下游面作用的弯矩'!F20</f>
        <v>12.634</v>
      </c>
      <c r="D20" s="7">
        <f>'夹角计算'!G21</f>
        <v>0</v>
      </c>
      <c r="E20" s="7">
        <f>'下管段轴向合力'!J20</f>
        <v>-2697.269516824609</v>
      </c>
      <c r="F20" s="7">
        <f>'镇墩上下游面作用的弯矩'!G20</f>
        <v>29.311</v>
      </c>
      <c r="G20" s="7">
        <v>0.3</v>
      </c>
      <c r="H20" s="7">
        <v>1.6</v>
      </c>
      <c r="I20" s="7">
        <f t="shared" si="0"/>
        <v>272.73165984465686</v>
      </c>
      <c r="J20" s="7">
        <f t="shared" si="1"/>
        <v>-731.747405004535</v>
      </c>
      <c r="K20" s="7">
        <f t="shared" si="2"/>
        <v>0</v>
      </c>
      <c r="L20" s="7">
        <f t="shared" si="3"/>
        <v>0</v>
      </c>
      <c r="M20" s="7">
        <f t="shared" si="4"/>
        <v>2186.316257509372</v>
      </c>
      <c r="N20" s="7">
        <f t="shared" si="5"/>
        <v>99.37801170497146</v>
      </c>
      <c r="O20" s="7">
        <f t="shared" si="6"/>
        <v>52.01724586144747</v>
      </c>
    </row>
    <row r="21" spans="1:15" ht="14.25">
      <c r="A21" s="5">
        <v>17</v>
      </c>
      <c r="B21" s="5">
        <f>'上管段轴向合力'!J21</f>
        <v>3063.1311783089513</v>
      </c>
      <c r="C21" s="5">
        <f>'镇墩上下游面作用的弯矩'!F21</f>
        <v>29.311</v>
      </c>
      <c r="D21" s="7">
        <f>'夹角计算'!G22</f>
        <v>0</v>
      </c>
      <c r="E21" s="7">
        <f>'下管段轴向合力'!J21</f>
        <v>-2993.078998815551</v>
      </c>
      <c r="F21" s="7">
        <f>'镇墩上下游面作用的弯矩'!G21</f>
        <v>35.189</v>
      </c>
      <c r="G21" s="7">
        <v>0.3</v>
      </c>
      <c r="H21" s="7">
        <v>1.6</v>
      </c>
      <c r="I21" s="7">
        <f t="shared" si="0"/>
        <v>224.71620449715283</v>
      </c>
      <c r="J21" s="7">
        <f t="shared" si="1"/>
        <v>-225.21347277883365</v>
      </c>
      <c r="K21" s="7">
        <f t="shared" si="2"/>
        <v>0</v>
      </c>
      <c r="L21" s="7">
        <f t="shared" si="3"/>
        <v>0</v>
      </c>
      <c r="M21" s="7">
        <f t="shared" si="4"/>
        <v>1423.699896763649</v>
      </c>
      <c r="N21" s="7">
        <f t="shared" si="5"/>
        <v>64.71363167107495</v>
      </c>
      <c r="O21" s="7">
        <f t="shared" si="6"/>
        <v>33.872934580487915</v>
      </c>
    </row>
    <row r="22" spans="1:15" ht="14.25">
      <c r="A22" s="5">
        <v>18</v>
      </c>
      <c r="B22" s="5">
        <f>'上管段轴向合力'!J22</f>
        <v>3515.5826149787054</v>
      </c>
      <c r="C22" s="5">
        <f>'镇墩上下游面作用的弯矩'!F22</f>
        <v>35.189</v>
      </c>
      <c r="D22" s="7">
        <f>'夹角计算'!G23</f>
        <v>0</v>
      </c>
      <c r="E22" s="7">
        <f>'下管段轴向合力'!J22</f>
        <v>-3453.043184983459</v>
      </c>
      <c r="F22" s="7">
        <f>'镇墩上下游面作用的弯矩'!G22</f>
        <v>9.463000000000001</v>
      </c>
      <c r="G22" s="7">
        <v>0.3</v>
      </c>
      <c r="H22" s="7">
        <v>1.6</v>
      </c>
      <c r="I22" s="7">
        <f t="shared" si="0"/>
        <v>-532.3415702622165</v>
      </c>
      <c r="J22" s="7">
        <f t="shared" si="1"/>
        <v>1457.6172976151606</v>
      </c>
      <c r="K22" s="7">
        <f t="shared" si="2"/>
        <v>0</v>
      </c>
      <c r="L22" s="7">
        <f t="shared" si="3"/>
        <v>0</v>
      </c>
      <c r="M22" s="7">
        <f t="shared" si="4"/>
        <v>-4296.772339013649</v>
      </c>
      <c r="N22" s="7">
        <f t="shared" si="5"/>
        <v>-195.3078335915295</v>
      </c>
      <c r="O22" s="7">
        <f t="shared" si="6"/>
        <v>-195.3078335915295</v>
      </c>
    </row>
    <row r="23" spans="1:15" ht="14.25">
      <c r="A23" s="5">
        <v>19</v>
      </c>
      <c r="B23" s="5">
        <f>'上管段轴向合力'!J23</f>
        <v>3707.6471430461506</v>
      </c>
      <c r="C23" s="5">
        <f>'镇墩上下游面作用的弯矩'!F23</f>
        <v>9.463000000000001</v>
      </c>
      <c r="D23" s="7">
        <f>'夹角计算'!G24</f>
        <v>0</v>
      </c>
      <c r="E23" s="7">
        <f>'下管段轴向合力'!J23</f>
        <v>-3575.1001021177176</v>
      </c>
      <c r="F23" s="7">
        <f>'镇墩上下游面作用的弯矩'!G23</f>
        <v>5.473000000000001</v>
      </c>
      <c r="G23" s="7">
        <v>0.3</v>
      </c>
      <c r="H23" s="7">
        <v>1.6</v>
      </c>
      <c r="I23" s="7">
        <f t="shared" si="0"/>
        <v>98.42579222714357</v>
      </c>
      <c r="J23" s="7">
        <f t="shared" si="1"/>
        <v>268.4616683134062</v>
      </c>
      <c r="K23" s="7">
        <f t="shared" si="2"/>
        <v>0</v>
      </c>
      <c r="L23" s="7">
        <f t="shared" si="3"/>
        <v>0</v>
      </c>
      <c r="M23" s="7">
        <f t="shared" si="4"/>
        <v>256.4758902313596</v>
      </c>
      <c r="N23" s="7">
        <f t="shared" si="5"/>
        <v>11.657995010516345</v>
      </c>
      <c r="O23" s="7">
        <f t="shared" si="6"/>
        <v>11.657995010516345</v>
      </c>
    </row>
    <row r="24" spans="1:15" ht="14.25">
      <c r="A24" s="5">
        <v>20</v>
      </c>
      <c r="B24" s="5">
        <f>'上管段轴向合力'!J24</f>
        <v>3808.781241452949</v>
      </c>
      <c r="C24" s="5">
        <f>'镇墩上下游面作用的弯矩'!F24</f>
        <v>5.473000000000001</v>
      </c>
      <c r="D24" s="7">
        <f>'夹角计算'!G25</f>
        <v>0</v>
      </c>
      <c r="E24" s="7">
        <f>'下管段轴向合力'!J24</f>
        <v>-3658.6494729837323</v>
      </c>
      <c r="F24" s="7">
        <f>'镇墩上下游面作用的弯矩'!G24</f>
        <v>13.322000000000001</v>
      </c>
      <c r="G24" s="7">
        <v>0.3</v>
      </c>
      <c r="H24" s="7">
        <v>1.6</v>
      </c>
      <c r="I24" s="7">
        <f t="shared" si="0"/>
        <v>231.1392860131259</v>
      </c>
      <c r="J24" s="7">
        <f t="shared" si="1"/>
        <v>-479.53348935135335</v>
      </c>
      <c r="K24" s="7">
        <f t="shared" si="2"/>
        <v>0</v>
      </c>
      <c r="L24" s="7">
        <f t="shared" si="3"/>
        <v>0</v>
      </c>
      <c r="M24" s="7">
        <f t="shared" si="4"/>
        <v>1712.276348088025</v>
      </c>
      <c r="N24" s="7">
        <f t="shared" si="5"/>
        <v>77.83074309491023</v>
      </c>
      <c r="O24" s="7">
        <f t="shared" si="6"/>
        <v>40.73879955624601</v>
      </c>
    </row>
    <row r="25" spans="1:15" ht="14.25">
      <c r="A25" s="5">
        <v>21</v>
      </c>
      <c r="B25" s="5">
        <f>'上管段轴向合力'!J25</f>
        <v>4004.179600353816</v>
      </c>
      <c r="C25" s="5">
        <f>'镇墩上下游面作用的弯矩'!F25</f>
        <v>13.322000000000001</v>
      </c>
      <c r="D25" s="7">
        <f>'夹角计算'!G26</f>
        <v>0</v>
      </c>
      <c r="E25" s="7">
        <f>'下管段轴向合力'!J25</f>
        <v>-3840.969614883891</v>
      </c>
      <c r="F25" s="7">
        <f>'镇墩上下游面作用的弯矩'!G25</f>
        <v>24.51</v>
      </c>
      <c r="G25" s="7">
        <v>0.3</v>
      </c>
      <c r="H25" s="7">
        <v>1.6</v>
      </c>
      <c r="I25" s="7">
        <f t="shared" si="0"/>
        <v>401.33671391221696</v>
      </c>
      <c r="J25" s="7">
        <f t="shared" si="1"/>
        <v>-670.4788224999638</v>
      </c>
      <c r="K25" s="7">
        <f t="shared" si="2"/>
        <v>0</v>
      </c>
      <c r="L25" s="7">
        <f t="shared" si="3"/>
        <v>0</v>
      </c>
      <c r="M25" s="7">
        <f t="shared" si="4"/>
        <v>2810.9412966984546</v>
      </c>
      <c r="N25" s="7">
        <f t="shared" si="5"/>
        <v>127.77005894083885</v>
      </c>
      <c r="O25" s="7">
        <f t="shared" si="6"/>
        <v>66.87844177631868</v>
      </c>
    </row>
    <row r="26" spans="1:15" ht="14.25">
      <c r="A26" s="5">
        <v>22</v>
      </c>
      <c r="B26" s="5">
        <f>'上管段轴向合力'!J26</f>
        <v>4085.969865557809</v>
      </c>
      <c r="C26" s="5">
        <f>'镇墩上下游面作用的弯矩'!F26</f>
        <v>24.51</v>
      </c>
      <c r="D26" s="7">
        <f>'夹角计算'!G27</f>
        <v>0</v>
      </c>
      <c r="E26" s="7">
        <f>'下管段轴向合力'!J26</f>
        <v>-4016.414529782343</v>
      </c>
      <c r="F26" s="7">
        <f>'镇墩上下游面作用的弯矩'!G26</f>
        <v>25.807000000000002</v>
      </c>
      <c r="G26" s="7">
        <v>0.3</v>
      </c>
      <c r="H26" s="7">
        <v>1.6</v>
      </c>
      <c r="I26" s="7">
        <f t="shared" si="0"/>
        <v>101.90709342149512</v>
      </c>
      <c r="J26" s="7">
        <f t="shared" si="1"/>
        <v>-53.41789517377447</v>
      </c>
      <c r="K26" s="7">
        <f t="shared" si="2"/>
        <v>0</v>
      </c>
      <c r="L26" s="7">
        <f t="shared" si="3"/>
        <v>0</v>
      </c>
      <c r="M26" s="7">
        <f t="shared" si="4"/>
        <v>596.9223934217484</v>
      </c>
      <c r="N26" s="7">
        <f t="shared" si="5"/>
        <v>27.13283606462493</v>
      </c>
      <c r="O26" s="7">
        <f t="shared" si="6"/>
        <v>27.13283606462493</v>
      </c>
    </row>
    <row r="27" spans="1:15" ht="14.25">
      <c r="A27" s="5">
        <v>23</v>
      </c>
      <c r="B27" s="5">
        <f>'上管段轴向合力'!J27</f>
        <v>4316.61711752646</v>
      </c>
      <c r="C27" s="5">
        <f>'镇墩上下游面作用的弯矩'!F27</f>
        <v>25.807000000000002</v>
      </c>
      <c r="D27" s="7">
        <f>'夹角计算'!G28</f>
        <v>0</v>
      </c>
      <c r="E27" s="7">
        <f>'下管段轴向合力'!J27</f>
        <v>-4223.550184498671</v>
      </c>
      <c r="F27" s="7">
        <f>'镇墩上下游面作用的弯矩'!G27</f>
        <v>25.807000000000002</v>
      </c>
      <c r="G27" s="7">
        <v>0.3</v>
      </c>
      <c r="H27" s="7">
        <v>1.6</v>
      </c>
      <c r="I27" s="7">
        <f t="shared" si="0"/>
        <v>83.7942067806448</v>
      </c>
      <c r="J27" s="7">
        <f t="shared" si="1"/>
        <v>40.496727438170865</v>
      </c>
      <c r="K27" s="7">
        <f t="shared" si="2"/>
        <v>0</v>
      </c>
      <c r="L27" s="7">
        <f t="shared" si="3"/>
        <v>0</v>
      </c>
      <c r="M27" s="7">
        <f t="shared" si="4"/>
        <v>406.40570872526814</v>
      </c>
      <c r="N27" s="7">
        <f t="shared" si="5"/>
        <v>18.47298676023946</v>
      </c>
      <c r="O27" s="7">
        <f t="shared" si="6"/>
        <v>18.47298676023946</v>
      </c>
    </row>
    <row r="28" spans="1:15" ht="14.25">
      <c r="A28" s="5">
        <v>24</v>
      </c>
      <c r="B28" s="5">
        <f>'上管段轴向合力'!J28</f>
        <v>4685.403348294881</v>
      </c>
      <c r="C28" s="5">
        <f>'镇墩上下游面作用的弯矩'!F28</f>
        <v>25.807000000000002</v>
      </c>
      <c r="D28" s="7">
        <f>'夹角计算'!G29</f>
        <v>0</v>
      </c>
      <c r="E28" s="7">
        <f>'下管段轴向合力'!J28</f>
        <v>-4524.995915458441</v>
      </c>
      <c r="F28" s="7">
        <f>'镇墩上下游面作用的弯矩'!G28</f>
        <v>26.844</v>
      </c>
      <c r="G28" s="7">
        <v>0.3</v>
      </c>
      <c r="H28" s="7">
        <v>1.6</v>
      </c>
      <c r="I28" s="7">
        <f t="shared" si="0"/>
        <v>180.70863909465015</v>
      </c>
      <c r="J28" s="7">
        <f t="shared" si="1"/>
        <v>-3.575730961658337</v>
      </c>
      <c r="K28" s="7">
        <f t="shared" si="2"/>
        <v>0</v>
      </c>
      <c r="L28" s="7">
        <f t="shared" si="3"/>
        <v>0</v>
      </c>
      <c r="M28" s="7">
        <f t="shared" si="4"/>
        <v>967.3551394664591</v>
      </c>
      <c r="N28" s="7">
        <f t="shared" si="5"/>
        <v>43.97068815756632</v>
      </c>
      <c r="O28" s="7">
        <f t="shared" si="6"/>
        <v>23.01549464864917</v>
      </c>
    </row>
    <row r="29" spans="1:15" ht="14.25">
      <c r="A29" s="5">
        <v>25</v>
      </c>
      <c r="B29" s="5">
        <f>'上管段轴向合力'!J29</f>
        <v>4935.5521658782945</v>
      </c>
      <c r="C29" s="5">
        <f>'镇墩上下游面作用的弯矩'!F29</f>
        <v>26.844</v>
      </c>
      <c r="D29" s="7">
        <f>'夹角计算'!G30</f>
        <v>0</v>
      </c>
      <c r="E29" s="7">
        <f>'下管段轴向合力'!J29</f>
        <v>-4798.752254270421</v>
      </c>
      <c r="F29" s="7">
        <f>'镇墩上下游面作用的弯矩'!G29</f>
        <v>22.153000000000002</v>
      </c>
      <c r="G29" s="7">
        <v>0.3</v>
      </c>
      <c r="H29" s="7">
        <v>1.6</v>
      </c>
      <c r="I29" s="7">
        <f t="shared" si="0"/>
        <v>-40.64113471958808</v>
      </c>
      <c r="J29" s="7">
        <f t="shared" si="1"/>
        <v>419.0181798659721</v>
      </c>
      <c r="K29" s="7">
        <f t="shared" si="2"/>
        <v>0</v>
      </c>
      <c r="L29" s="7">
        <f t="shared" si="3"/>
        <v>0</v>
      </c>
      <c r="M29" s="7">
        <f t="shared" si="4"/>
        <v>-635.7708983704418</v>
      </c>
      <c r="N29" s="7">
        <f t="shared" si="5"/>
        <v>-28.898677198656447</v>
      </c>
      <c r="O29" s="7">
        <f t="shared" si="6"/>
        <v>-28.898677198656447</v>
      </c>
    </row>
    <row r="30" spans="1:15" ht="14.25">
      <c r="A30" s="5">
        <v>26</v>
      </c>
      <c r="B30" s="5">
        <f>'上管段轴向合力'!J30</f>
        <v>5177.160413688079</v>
      </c>
      <c r="C30" s="5">
        <f>'镇墩上下游面作用的弯矩'!F30</f>
        <v>22.153000000000002</v>
      </c>
      <c r="D30" s="7">
        <f>'夹角计算'!G31</f>
        <v>0</v>
      </c>
      <c r="E30" s="7">
        <f>'下管段轴向合力'!J30</f>
        <v>-5028.889402845366</v>
      </c>
      <c r="F30" s="7">
        <f>'镇墩上下游面作用的弯矩'!G30</f>
        <v>18.296</v>
      </c>
      <c r="G30" s="7">
        <v>0.3</v>
      </c>
      <c r="H30" s="7">
        <v>1.6</v>
      </c>
      <c r="I30" s="7">
        <f t="shared" si="0"/>
        <v>20.444669789059844</v>
      </c>
      <c r="J30" s="7">
        <f t="shared" si="1"/>
        <v>373.34272555104644</v>
      </c>
      <c r="K30" s="7">
        <f t="shared" si="2"/>
        <v>0</v>
      </c>
      <c r="L30" s="7">
        <f t="shared" si="3"/>
        <v>0</v>
      </c>
      <c r="M30" s="7">
        <f t="shared" si="4"/>
        <v>-264.3044866760606</v>
      </c>
      <c r="N30" s="7">
        <f t="shared" si="5"/>
        <v>-12.0138403034573</v>
      </c>
      <c r="O30" s="7">
        <f t="shared" si="6"/>
        <v>-12.0138403034573</v>
      </c>
    </row>
    <row r="31" spans="1:15" ht="14.25">
      <c r="A31" s="5">
        <v>27</v>
      </c>
      <c r="B31" s="5">
        <f>'上管段轴向合力'!J31</f>
        <v>5285.806471748304</v>
      </c>
      <c r="C31" s="5">
        <f>'镇墩上下游面作用的弯矩'!F31</f>
        <v>18.296</v>
      </c>
      <c r="D31" s="7">
        <f>'夹角计算'!G32</f>
        <v>26.44</v>
      </c>
      <c r="E31" s="7">
        <f>'下管段轴向合力'!J31</f>
        <v>-5250.164896956906</v>
      </c>
      <c r="F31" s="7">
        <f>'镇墩上下游面作用的弯矩'!G31</f>
        <v>29.942999999999998</v>
      </c>
      <c r="G31" s="7">
        <v>0.35</v>
      </c>
      <c r="H31" s="7">
        <v>1.5</v>
      </c>
      <c r="I31" s="7">
        <f t="shared" si="0"/>
        <v>944.2435088974662</v>
      </c>
      <c r="J31" s="7">
        <f t="shared" si="1"/>
        <v>-960.8119073897051</v>
      </c>
      <c r="K31" s="7">
        <f t="shared" si="2"/>
        <v>-2025.0170600213473</v>
      </c>
      <c r="L31" s="7">
        <f t="shared" si="3"/>
        <v>2234.343281027448</v>
      </c>
      <c r="M31" s="7">
        <f t="shared" si="4"/>
        <v>10536.568826078768</v>
      </c>
      <c r="N31" s="7">
        <f t="shared" si="5"/>
        <v>478.93494663994403</v>
      </c>
      <c r="O31" s="7">
        <f t="shared" si="6"/>
        <v>131.67269267305198</v>
      </c>
    </row>
    <row r="32" spans="1:15" ht="14.25">
      <c r="A32" s="5">
        <v>28</v>
      </c>
      <c r="B32" s="5">
        <f>'上管段轴向合力'!J32</f>
        <v>4922.357929188256</v>
      </c>
      <c r="C32" s="5">
        <f>'镇墩上下游面作用的弯矩'!F32</f>
        <v>29.942999999999998</v>
      </c>
      <c r="D32" s="7">
        <f>'夹角计算'!G33</f>
        <v>0</v>
      </c>
      <c r="E32" s="7">
        <f>'下管段轴向合力'!J32</f>
        <v>-2079.8272743925686</v>
      </c>
      <c r="F32" s="7">
        <f>'镇墩上下游面作用的弯矩'!G32</f>
        <v>0</v>
      </c>
      <c r="G32" s="7">
        <v>0.55</v>
      </c>
      <c r="H32" s="7">
        <v>1.5</v>
      </c>
      <c r="I32" s="7">
        <f t="shared" si="0"/>
        <v>2186.1568885127012</v>
      </c>
      <c r="J32" s="7">
        <f t="shared" si="1"/>
        <v>2455.8067319892907</v>
      </c>
      <c r="K32" s="7">
        <f t="shared" si="2"/>
        <v>0</v>
      </c>
      <c r="L32" s="7">
        <f t="shared" si="3"/>
        <v>0</v>
      </c>
      <c r="M32" s="7">
        <f t="shared" si="4"/>
        <v>3506.4393275908023</v>
      </c>
      <c r="N32" s="7">
        <f t="shared" si="5"/>
        <v>159.38360579958191</v>
      </c>
      <c r="O32" s="7">
        <f t="shared" si="6"/>
        <v>109.30375205740248</v>
      </c>
    </row>
    <row r="33" spans="1:15" ht="14.25">
      <c r="A33" s="39">
        <v>29</v>
      </c>
      <c r="B33" s="5">
        <f>'上管段轴向合力'!J34</f>
        <v>2800.0616418921436</v>
      </c>
      <c r="C33" s="5">
        <f>'镇墩上下游面作用的弯矩'!F33</f>
        <v>29.943</v>
      </c>
      <c r="D33" s="7">
        <v>58.32</v>
      </c>
      <c r="E33">
        <f>'下管段轴向合力'!J34</f>
        <v>-2078.1660764797825</v>
      </c>
      <c r="F33" s="7">
        <v>0</v>
      </c>
      <c r="G33" s="7">
        <v>0.6</v>
      </c>
      <c r="H33" s="7">
        <v>1.5</v>
      </c>
      <c r="I33" s="7">
        <f t="shared" si="0"/>
        <v>1334.3737741457776</v>
      </c>
      <c r="J33" s="7">
        <f t="shared" si="1"/>
        <v>1396.9748500750939</v>
      </c>
      <c r="K33" s="7">
        <f t="shared" si="2"/>
        <v>-1767.9444438851178</v>
      </c>
      <c r="L33" s="7">
        <f t="shared" si="3"/>
        <v>2214.990050946574</v>
      </c>
      <c r="M33" s="7">
        <f t="shared" si="4"/>
        <v>4140.500277291341</v>
      </c>
      <c r="N33" s="7">
        <f t="shared" si="5"/>
        <v>188.20455805869733</v>
      </c>
      <c r="O33" s="7">
        <f t="shared" si="6"/>
        <v>62.122315598995186</v>
      </c>
    </row>
    <row r="34" spans="9:10" ht="14.25">
      <c r="I34" s="7">
        <f t="shared" si="0"/>
        <v>0</v>
      </c>
      <c r="J34" s="7">
        <f t="shared" si="1"/>
        <v>0</v>
      </c>
    </row>
    <row r="35" spans="9:10" ht="14.25">
      <c r="I35" s="7">
        <f t="shared" si="0"/>
        <v>0</v>
      </c>
      <c r="J35" s="7">
        <f t="shared" si="1"/>
        <v>0</v>
      </c>
    </row>
    <row r="36" spans="9:10" ht="14.25">
      <c r="I36" s="7">
        <f t="shared" si="0"/>
        <v>0</v>
      </c>
      <c r="J36" s="7">
        <f t="shared" si="1"/>
        <v>0</v>
      </c>
    </row>
    <row r="37" spans="1:14" ht="14.25">
      <c r="A37">
        <v>28</v>
      </c>
      <c r="B37">
        <f>'上管段轴向合力'!J33</f>
        <v>4946.218357824509</v>
      </c>
      <c r="C37">
        <v>29.943</v>
      </c>
      <c r="D37">
        <v>0</v>
      </c>
      <c r="E37">
        <f>-2079.83-2077.35*COS(55*3.14/180)*SIN(29.943*3.14/180)</f>
        <v>-2674.702166745989</v>
      </c>
      <c r="F37">
        <v>0</v>
      </c>
      <c r="G37">
        <v>0.65</v>
      </c>
      <c r="H37">
        <v>1.5</v>
      </c>
      <c r="I37" s="7">
        <f>B37*COS(3.14*C37/180)+E37*COS(3.14*55/180)*COS(3.14*D37/180)</f>
        <v>2751.4507264655012</v>
      </c>
      <c r="J37" s="7">
        <f t="shared" si="1"/>
        <v>2467.7109051753973</v>
      </c>
      <c r="K37">
        <f>2077.35*SIN(58.32*3.14/180)*COS(3.14*29.943/180)</f>
        <v>1531.5955127027096</v>
      </c>
      <c r="L37">
        <f>SQRT(I37^2+K37^2)</f>
        <v>3149.0103071756703</v>
      </c>
      <c r="M37">
        <f>H37*L37/G37-J37</f>
        <v>4799.235957537687</v>
      </c>
      <c r="N37">
        <f>M37/22</f>
        <v>218.14708897898575</v>
      </c>
    </row>
  </sheetData>
  <mergeCells count="1">
    <mergeCell ref="A1:N1"/>
  </mergeCells>
  <printOptions horizontalCentered="1"/>
  <pageMargins left="0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0">
      <selection activeCell="H35" sqref="H35"/>
    </sheetView>
  </sheetViews>
  <sheetFormatPr defaultColWidth="9.00390625" defaultRowHeight="14.25"/>
  <cols>
    <col min="2" max="2" width="10.125" style="0" customWidth="1"/>
    <col min="3" max="3" width="11.125" style="0" customWidth="1"/>
  </cols>
  <sheetData>
    <row r="1" spans="1:7" s="26" customFormat="1" ht="24.75" customHeight="1">
      <c r="A1" s="46" t="s">
        <v>183</v>
      </c>
      <c r="B1" s="47"/>
      <c r="C1" s="47"/>
      <c r="D1" s="47"/>
      <c r="E1" s="47"/>
      <c r="F1" s="47"/>
      <c r="G1" s="48"/>
    </row>
    <row r="2" spans="1:7" ht="15.75">
      <c r="A2" s="49" t="s">
        <v>180</v>
      </c>
      <c r="B2" s="49" t="s">
        <v>181</v>
      </c>
      <c r="C2" s="49" t="s">
        <v>174</v>
      </c>
      <c r="D2" s="49" t="s">
        <v>182</v>
      </c>
      <c r="E2" s="18" t="s">
        <v>175</v>
      </c>
      <c r="F2" s="19"/>
      <c r="G2" s="24" t="s">
        <v>178</v>
      </c>
    </row>
    <row r="3" spans="1:7" ht="18.75">
      <c r="A3" s="50"/>
      <c r="B3" s="50"/>
      <c r="C3" s="50"/>
      <c r="D3" s="50"/>
      <c r="E3" s="19" t="s">
        <v>176</v>
      </c>
      <c r="F3" s="19" t="s">
        <v>177</v>
      </c>
      <c r="G3" s="25" t="s">
        <v>179</v>
      </c>
    </row>
    <row r="4" spans="1:9" ht="15.75" customHeight="1">
      <c r="A4" s="19">
        <v>0</v>
      </c>
      <c r="B4" s="18" t="s">
        <v>142</v>
      </c>
      <c r="C4" s="19">
        <v>1284.365</v>
      </c>
      <c r="D4" s="19">
        <v>4.861</v>
      </c>
      <c r="E4" s="19">
        <v>0</v>
      </c>
      <c r="F4" s="19">
        <f>D4+E4</f>
        <v>4.861</v>
      </c>
      <c r="G4" s="19">
        <v>11.23</v>
      </c>
      <c r="I4" s="20"/>
    </row>
    <row r="5" spans="1:7" ht="15.75" customHeight="1">
      <c r="A5" s="19">
        <v>1</v>
      </c>
      <c r="B5" s="18" t="s">
        <v>143</v>
      </c>
      <c r="C5" s="19">
        <v>1278.2</v>
      </c>
      <c r="D5" s="19">
        <v>2.6</v>
      </c>
      <c r="E5" s="19">
        <f>F4</f>
        <v>4.861</v>
      </c>
      <c r="F5" s="19">
        <f aca="true" t="shared" si="0" ref="F5:F33">D5+E5</f>
        <v>7.461</v>
      </c>
      <c r="G5" s="19">
        <v>26.957</v>
      </c>
    </row>
    <row r="6" spans="1:7" ht="15.75" customHeight="1">
      <c r="A6" s="18" t="s">
        <v>158</v>
      </c>
      <c r="B6" s="18" t="s">
        <v>144</v>
      </c>
      <c r="C6" s="19">
        <v>1268.228</v>
      </c>
      <c r="D6" s="19">
        <v>3.953</v>
      </c>
      <c r="E6" s="19">
        <f aca="true" t="shared" si="1" ref="E6:E33">F5</f>
        <v>7.461</v>
      </c>
      <c r="F6" s="19">
        <f t="shared" si="0"/>
        <v>11.414</v>
      </c>
      <c r="G6" s="19">
        <v>4.698</v>
      </c>
    </row>
    <row r="7" spans="1:7" ht="15.75" customHeight="1">
      <c r="A7" s="19">
        <v>2</v>
      </c>
      <c r="B7" s="18" t="s">
        <v>145</v>
      </c>
      <c r="C7" s="19">
        <v>1252.387</v>
      </c>
      <c r="D7" s="19">
        <v>0.981</v>
      </c>
      <c r="E7" s="19">
        <f t="shared" si="1"/>
        <v>11.414</v>
      </c>
      <c r="F7" s="19">
        <f t="shared" si="0"/>
        <v>12.395</v>
      </c>
      <c r="G7" s="19">
        <v>55.788</v>
      </c>
    </row>
    <row r="8" spans="1:7" ht="15.75" customHeight="1">
      <c r="A8" s="19">
        <v>3</v>
      </c>
      <c r="B8" s="18" t="s">
        <v>146</v>
      </c>
      <c r="C8" s="19">
        <v>1233.32</v>
      </c>
      <c r="D8" s="19">
        <v>-8.027</v>
      </c>
      <c r="E8" s="19">
        <f t="shared" si="1"/>
        <v>12.395</v>
      </c>
      <c r="F8" s="19">
        <f t="shared" si="0"/>
        <v>4.368</v>
      </c>
      <c r="G8" s="19">
        <v>43.734</v>
      </c>
    </row>
    <row r="9" spans="1:7" ht="15.75" customHeight="1">
      <c r="A9" s="19">
        <v>4</v>
      </c>
      <c r="B9" s="18" t="s">
        <v>147</v>
      </c>
      <c r="C9" s="19">
        <v>1227.952</v>
      </c>
      <c r="D9" s="19">
        <v>0</v>
      </c>
      <c r="E9" s="19">
        <f t="shared" si="1"/>
        <v>4.368</v>
      </c>
      <c r="F9" s="19">
        <f t="shared" si="0"/>
        <v>4.368</v>
      </c>
      <c r="G9" s="19">
        <v>0</v>
      </c>
    </row>
    <row r="10" spans="1:7" ht="15.75" customHeight="1">
      <c r="A10" s="19">
        <v>5</v>
      </c>
      <c r="B10" s="18" t="s">
        <v>148</v>
      </c>
      <c r="C10" s="19">
        <v>1222.12</v>
      </c>
      <c r="D10" s="19">
        <v>7.392</v>
      </c>
      <c r="E10" s="19">
        <f t="shared" si="1"/>
        <v>4.368</v>
      </c>
      <c r="F10" s="19">
        <f t="shared" si="0"/>
        <v>11.760000000000002</v>
      </c>
      <c r="G10" s="19">
        <v>0</v>
      </c>
    </row>
    <row r="11" spans="1:7" ht="15.75" customHeight="1">
      <c r="A11" s="19">
        <v>6</v>
      </c>
      <c r="B11" s="18" t="s">
        <v>149</v>
      </c>
      <c r="C11" s="19">
        <v>1204.093</v>
      </c>
      <c r="D11" s="19">
        <v>-5.822</v>
      </c>
      <c r="E11" s="19">
        <f t="shared" si="1"/>
        <v>11.760000000000002</v>
      </c>
      <c r="F11" s="19">
        <f t="shared" si="0"/>
        <v>5.9380000000000015</v>
      </c>
      <c r="G11" s="19">
        <v>0</v>
      </c>
    </row>
    <row r="12" spans="1:7" ht="15.75" customHeight="1">
      <c r="A12" s="19">
        <v>7</v>
      </c>
      <c r="B12" s="18" t="s">
        <v>150</v>
      </c>
      <c r="C12" s="19">
        <v>1192.707</v>
      </c>
      <c r="D12" s="19">
        <v>0</v>
      </c>
      <c r="E12" s="19">
        <f t="shared" si="1"/>
        <v>5.9380000000000015</v>
      </c>
      <c r="F12" s="19">
        <f t="shared" si="0"/>
        <v>5.9380000000000015</v>
      </c>
      <c r="G12" s="19">
        <v>0</v>
      </c>
    </row>
    <row r="13" spans="1:7" ht="15.75" customHeight="1">
      <c r="A13" s="19">
        <v>8</v>
      </c>
      <c r="B13" s="18" t="s">
        <v>151</v>
      </c>
      <c r="C13" s="19">
        <v>1182.32</v>
      </c>
      <c r="D13" s="19">
        <v>0</v>
      </c>
      <c r="E13" s="19">
        <f t="shared" si="1"/>
        <v>5.9380000000000015</v>
      </c>
      <c r="F13" s="19">
        <f t="shared" si="0"/>
        <v>5.9380000000000015</v>
      </c>
      <c r="G13" s="19">
        <v>0</v>
      </c>
    </row>
    <row r="14" spans="1:7" ht="15.75" customHeight="1">
      <c r="A14" s="19">
        <v>9</v>
      </c>
      <c r="B14" s="18" t="s">
        <v>152</v>
      </c>
      <c r="C14" s="19">
        <v>1172.311</v>
      </c>
      <c r="D14" s="19">
        <v>7.809</v>
      </c>
      <c r="E14" s="19">
        <f t="shared" si="1"/>
        <v>5.9380000000000015</v>
      </c>
      <c r="F14" s="19">
        <f t="shared" si="0"/>
        <v>13.747000000000002</v>
      </c>
      <c r="G14" s="19">
        <v>0</v>
      </c>
    </row>
    <row r="15" spans="1:7" ht="15.75" customHeight="1">
      <c r="A15" s="19">
        <v>10</v>
      </c>
      <c r="B15" s="18" t="s">
        <v>153</v>
      </c>
      <c r="C15" s="19">
        <v>1146.866</v>
      </c>
      <c r="D15" s="19">
        <v>19.2</v>
      </c>
      <c r="E15" s="19">
        <f t="shared" si="1"/>
        <v>13.747000000000002</v>
      </c>
      <c r="F15" s="19">
        <f t="shared" si="0"/>
        <v>32.947</v>
      </c>
      <c r="G15" s="19">
        <v>34.87</v>
      </c>
    </row>
    <row r="16" spans="1:7" ht="15.75" customHeight="1">
      <c r="A16" s="19">
        <v>11</v>
      </c>
      <c r="B16" s="18" t="s">
        <v>154</v>
      </c>
      <c r="C16" s="19">
        <v>1096.975</v>
      </c>
      <c r="D16" s="19">
        <v>2.302</v>
      </c>
      <c r="E16" s="19">
        <f t="shared" si="1"/>
        <v>32.947</v>
      </c>
      <c r="F16" s="19">
        <f t="shared" si="0"/>
        <v>35.249</v>
      </c>
      <c r="G16" s="19">
        <v>2.246</v>
      </c>
    </row>
    <row r="17" spans="1:7" ht="15.75" customHeight="1">
      <c r="A17" s="19">
        <v>12</v>
      </c>
      <c r="B17" s="18" t="s">
        <v>155</v>
      </c>
      <c r="C17" s="19">
        <v>1042.362</v>
      </c>
      <c r="D17" s="19">
        <v>1.69</v>
      </c>
      <c r="E17" s="19">
        <f t="shared" si="1"/>
        <v>35.249</v>
      </c>
      <c r="F17" s="19">
        <f t="shared" si="0"/>
        <v>36.939</v>
      </c>
      <c r="G17" s="19">
        <v>0</v>
      </c>
    </row>
    <row r="18" spans="1:7" ht="15.75" customHeight="1">
      <c r="A18" s="19">
        <v>13</v>
      </c>
      <c r="B18" s="18" t="s">
        <v>156</v>
      </c>
      <c r="C18" s="19">
        <v>1002.373</v>
      </c>
      <c r="D18" s="19">
        <v>-1.68</v>
      </c>
      <c r="E18" s="19">
        <f t="shared" si="1"/>
        <v>36.939</v>
      </c>
      <c r="F18" s="19">
        <f t="shared" si="0"/>
        <v>35.259</v>
      </c>
      <c r="G18" s="19">
        <v>0</v>
      </c>
    </row>
    <row r="19" spans="1:7" ht="15.75" customHeight="1">
      <c r="A19" s="19">
        <v>14</v>
      </c>
      <c r="B19" s="18" t="s">
        <v>157</v>
      </c>
      <c r="C19" s="19">
        <v>951.907</v>
      </c>
      <c r="D19" s="19">
        <v>-7.753</v>
      </c>
      <c r="E19" s="19">
        <f t="shared" si="1"/>
        <v>35.259</v>
      </c>
      <c r="F19" s="19">
        <f t="shared" si="0"/>
        <v>27.506</v>
      </c>
      <c r="G19" s="19">
        <v>0</v>
      </c>
    </row>
    <row r="20" spans="1:7" ht="15.75" customHeight="1">
      <c r="A20" s="19">
        <v>15</v>
      </c>
      <c r="B20" s="18" t="s">
        <v>159</v>
      </c>
      <c r="C20" s="19">
        <v>912.95</v>
      </c>
      <c r="D20" s="19">
        <v>-14.872</v>
      </c>
      <c r="E20" s="19">
        <f t="shared" si="1"/>
        <v>27.506</v>
      </c>
      <c r="F20" s="19">
        <f t="shared" si="0"/>
        <v>12.634</v>
      </c>
      <c r="G20" s="19">
        <v>0</v>
      </c>
    </row>
    <row r="21" spans="1:7" ht="15.75" customHeight="1">
      <c r="A21" s="19">
        <v>16</v>
      </c>
      <c r="B21" s="18" t="s">
        <v>160</v>
      </c>
      <c r="C21" s="19">
        <v>892.134</v>
      </c>
      <c r="D21" s="19">
        <v>16.677</v>
      </c>
      <c r="E21" s="19">
        <f t="shared" si="1"/>
        <v>12.634</v>
      </c>
      <c r="F21" s="19">
        <f t="shared" si="0"/>
        <v>29.311</v>
      </c>
      <c r="G21" s="19">
        <v>0</v>
      </c>
    </row>
    <row r="22" spans="1:7" ht="15.75" customHeight="1">
      <c r="A22" s="19">
        <v>17</v>
      </c>
      <c r="B22" s="18" t="s">
        <v>161</v>
      </c>
      <c r="C22" s="19">
        <v>844.836</v>
      </c>
      <c r="D22" s="19">
        <v>5.878</v>
      </c>
      <c r="E22" s="19">
        <f t="shared" si="1"/>
        <v>29.311</v>
      </c>
      <c r="F22" s="19">
        <f t="shared" si="0"/>
        <v>35.189</v>
      </c>
      <c r="G22" s="19">
        <v>0</v>
      </c>
    </row>
    <row r="23" spans="1:7" ht="15.75" customHeight="1">
      <c r="A23" s="19">
        <v>18</v>
      </c>
      <c r="B23" s="18" t="s">
        <v>162</v>
      </c>
      <c r="C23" s="19">
        <v>769.597</v>
      </c>
      <c r="D23" s="19">
        <v>-25.726</v>
      </c>
      <c r="E23" s="19">
        <f t="shared" si="1"/>
        <v>35.189</v>
      </c>
      <c r="F23" s="19">
        <f t="shared" si="0"/>
        <v>9.463000000000001</v>
      </c>
      <c r="G23" s="19">
        <v>0</v>
      </c>
    </row>
    <row r="24" spans="1:7" ht="15.75" customHeight="1">
      <c r="A24" s="19">
        <v>19</v>
      </c>
      <c r="B24" s="18" t="s">
        <v>163</v>
      </c>
      <c r="C24" s="19">
        <v>753.241</v>
      </c>
      <c r="D24" s="19">
        <v>-3.99</v>
      </c>
      <c r="E24" s="19">
        <f t="shared" si="1"/>
        <v>9.463000000000001</v>
      </c>
      <c r="F24" s="19">
        <f t="shared" si="0"/>
        <v>5.473000000000001</v>
      </c>
      <c r="G24" s="19">
        <v>0</v>
      </c>
    </row>
    <row r="25" spans="1:7" ht="15.75" customHeight="1">
      <c r="A25" s="19">
        <v>20</v>
      </c>
      <c r="B25" s="18" t="s">
        <v>164</v>
      </c>
      <c r="C25" s="19">
        <v>743.705</v>
      </c>
      <c r="D25" s="19">
        <v>7.849</v>
      </c>
      <c r="E25" s="19">
        <f t="shared" si="1"/>
        <v>5.473000000000001</v>
      </c>
      <c r="F25" s="19">
        <f t="shared" si="0"/>
        <v>13.322000000000001</v>
      </c>
      <c r="G25" s="19">
        <v>0</v>
      </c>
    </row>
    <row r="26" spans="1:7" ht="15.75" customHeight="1">
      <c r="A26" s="19">
        <v>21</v>
      </c>
      <c r="B26" s="18" t="s">
        <v>165</v>
      </c>
      <c r="C26" s="19">
        <v>717.576</v>
      </c>
      <c r="D26" s="19">
        <v>11.188</v>
      </c>
      <c r="E26" s="19">
        <f t="shared" si="1"/>
        <v>13.322000000000001</v>
      </c>
      <c r="F26" s="19">
        <f t="shared" si="0"/>
        <v>24.51</v>
      </c>
      <c r="G26" s="19">
        <v>0</v>
      </c>
    </row>
    <row r="27" spans="1:7" ht="15.75" customHeight="1">
      <c r="A27" s="19">
        <v>22</v>
      </c>
      <c r="B27" s="18" t="s">
        <v>166</v>
      </c>
      <c r="C27" s="19">
        <v>689.948</v>
      </c>
      <c r="D27" s="19">
        <v>1.297</v>
      </c>
      <c r="E27" s="19">
        <f t="shared" si="1"/>
        <v>24.51</v>
      </c>
      <c r="F27" s="19">
        <f t="shared" si="0"/>
        <v>25.807000000000002</v>
      </c>
      <c r="G27" s="19">
        <v>0</v>
      </c>
    </row>
    <row r="28" spans="1:7" ht="15.75" customHeight="1">
      <c r="A28" s="19">
        <v>23</v>
      </c>
      <c r="B28" s="18" t="s">
        <v>167</v>
      </c>
      <c r="C28" s="19">
        <v>657.181</v>
      </c>
      <c r="D28" s="19">
        <v>0</v>
      </c>
      <c r="E28" s="19">
        <f t="shared" si="1"/>
        <v>25.807000000000002</v>
      </c>
      <c r="F28" s="19">
        <f t="shared" si="0"/>
        <v>25.807000000000002</v>
      </c>
      <c r="G28" s="19">
        <v>0</v>
      </c>
    </row>
    <row r="29" spans="1:7" ht="15.75" customHeight="1">
      <c r="A29" s="19">
        <v>24</v>
      </c>
      <c r="B29" s="18" t="s">
        <v>168</v>
      </c>
      <c r="C29" s="19">
        <v>609.526</v>
      </c>
      <c r="D29" s="19">
        <v>1.037</v>
      </c>
      <c r="E29" s="19">
        <f t="shared" si="1"/>
        <v>25.807000000000002</v>
      </c>
      <c r="F29" s="19">
        <f t="shared" si="0"/>
        <v>26.844</v>
      </c>
      <c r="G29" s="19">
        <v>0</v>
      </c>
    </row>
    <row r="30" spans="1:7" ht="15.75" customHeight="1">
      <c r="A30" s="19">
        <v>25</v>
      </c>
      <c r="B30" s="18" t="s">
        <v>169</v>
      </c>
      <c r="C30" s="19">
        <v>566.029</v>
      </c>
      <c r="D30" s="19">
        <v>-4.691</v>
      </c>
      <c r="E30" s="19">
        <f t="shared" si="1"/>
        <v>26.844</v>
      </c>
      <c r="F30" s="19">
        <f t="shared" si="0"/>
        <v>22.153000000000002</v>
      </c>
      <c r="G30" s="19"/>
    </row>
    <row r="31" spans="1:7" ht="15.75" customHeight="1">
      <c r="A31" s="19">
        <v>26</v>
      </c>
      <c r="B31" s="18" t="s">
        <v>170</v>
      </c>
      <c r="C31" s="19">
        <v>530.26</v>
      </c>
      <c r="D31" s="19">
        <v>-3.857</v>
      </c>
      <c r="E31" s="19">
        <f t="shared" si="1"/>
        <v>22.153000000000002</v>
      </c>
      <c r="F31" s="19">
        <v>18.296</v>
      </c>
      <c r="G31" s="19">
        <v>0</v>
      </c>
    </row>
    <row r="32" spans="1:7" ht="15.75" customHeight="1">
      <c r="A32" s="19">
        <v>27</v>
      </c>
      <c r="B32" s="18" t="s">
        <v>171</v>
      </c>
      <c r="C32" s="19">
        <v>496.808</v>
      </c>
      <c r="D32" s="19">
        <v>11.647</v>
      </c>
      <c r="E32" s="19">
        <f t="shared" si="1"/>
        <v>18.296</v>
      </c>
      <c r="F32" s="19">
        <f t="shared" si="0"/>
        <v>29.942999999999998</v>
      </c>
      <c r="G32" s="19">
        <v>26.44</v>
      </c>
    </row>
    <row r="33" spans="1:7" ht="15.75" customHeight="1">
      <c r="A33" s="19">
        <v>28</v>
      </c>
      <c r="B33" s="18" t="s">
        <v>172</v>
      </c>
      <c r="C33" s="19">
        <v>460.573</v>
      </c>
      <c r="D33" s="19">
        <v>-29.943</v>
      </c>
      <c r="E33" s="19">
        <f t="shared" si="1"/>
        <v>29.942999999999998</v>
      </c>
      <c r="F33" s="19">
        <f t="shared" si="0"/>
        <v>0</v>
      </c>
      <c r="G33" s="19">
        <v>0</v>
      </c>
    </row>
    <row r="34" spans="1:7" ht="15.75">
      <c r="A34" t="s">
        <v>185</v>
      </c>
      <c r="B34" s="36" t="s">
        <v>186</v>
      </c>
      <c r="C34" s="37">
        <v>460.573</v>
      </c>
      <c r="D34" s="19">
        <v>-29.943</v>
      </c>
      <c r="E34" s="19">
        <v>29.943</v>
      </c>
      <c r="F34" s="38">
        <v>29.943</v>
      </c>
      <c r="G34" s="37">
        <v>55</v>
      </c>
    </row>
    <row r="35" spans="1:7" ht="14.25">
      <c r="A35" s="38">
        <v>29</v>
      </c>
      <c r="B35">
        <v>2472.788</v>
      </c>
      <c r="C35" s="37">
        <v>460.573</v>
      </c>
      <c r="D35" s="37">
        <v>-29.943</v>
      </c>
      <c r="E35" s="19">
        <v>29.943</v>
      </c>
      <c r="F35" s="38">
        <v>0</v>
      </c>
      <c r="G35" s="37">
        <v>55</v>
      </c>
    </row>
  </sheetData>
  <mergeCells count="5">
    <mergeCell ref="A1:G1"/>
    <mergeCell ref="A2:A3"/>
    <mergeCell ref="B2:B3"/>
    <mergeCell ref="C2:C3"/>
    <mergeCell ref="D2:D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1"/>
  <sheetViews>
    <sheetView workbookViewId="0" topLeftCell="A7">
      <selection activeCell="D34" sqref="D34"/>
    </sheetView>
  </sheetViews>
  <sheetFormatPr defaultColWidth="9.00390625" defaultRowHeight="14.25"/>
  <cols>
    <col min="1" max="1" width="9.125" style="0" bestFit="1" customWidth="1"/>
    <col min="2" max="2" width="10.50390625" style="0" bestFit="1" customWidth="1"/>
    <col min="3" max="3" width="16.00390625" style="0" customWidth="1"/>
    <col min="4" max="4" width="22.25390625" style="0" customWidth="1"/>
    <col min="5" max="5" width="18.25390625" style="0" customWidth="1"/>
  </cols>
  <sheetData>
    <row r="1" spans="1:5" ht="14.25">
      <c r="A1" s="51" t="s">
        <v>0</v>
      </c>
      <c r="B1" s="51"/>
      <c r="C1" s="51"/>
      <c r="D1" s="51"/>
      <c r="E1" s="51"/>
    </row>
    <row r="2" spans="1:5" ht="15.75">
      <c r="A2" s="1" t="s">
        <v>1</v>
      </c>
      <c r="B2" s="1" t="s">
        <v>5</v>
      </c>
      <c r="C2" s="1" t="s">
        <v>4</v>
      </c>
      <c r="D2" s="1" t="s">
        <v>3</v>
      </c>
      <c r="E2" s="1" t="s">
        <v>2</v>
      </c>
    </row>
    <row r="3" spans="1:5" ht="14.25">
      <c r="A3" s="22">
        <v>0</v>
      </c>
      <c r="B3" s="1">
        <v>0</v>
      </c>
      <c r="C3" s="27">
        <f>'夹角计算'!C4</f>
        <v>1284.365</v>
      </c>
      <c r="D3" s="27">
        <f aca="true" t="shared" si="0" ref="D3:D34">(1291-C3)+124.56*B3/2466.76</f>
        <v>6.634999999999991</v>
      </c>
      <c r="E3" s="1"/>
    </row>
    <row r="4" spans="1:5" ht="15.75">
      <c r="A4" s="22">
        <v>1</v>
      </c>
      <c r="B4" s="28">
        <v>72.484</v>
      </c>
      <c r="C4" s="27">
        <f>'夹角计算'!C5</f>
        <v>1278.2</v>
      </c>
      <c r="D4" s="27">
        <f t="shared" si="0"/>
        <v>16.460107606739157</v>
      </c>
      <c r="E4" s="1"/>
    </row>
    <row r="5" spans="1:5" ht="15.75">
      <c r="A5" s="23" t="s">
        <v>173</v>
      </c>
      <c r="B5" s="27">
        <v>148.623</v>
      </c>
      <c r="C5" s="27">
        <f>'夹角计算'!C6</f>
        <v>1268.228</v>
      </c>
      <c r="D5" s="27">
        <f t="shared" si="0"/>
        <v>30.276775851724462</v>
      </c>
      <c r="E5" s="1"/>
    </row>
    <row r="6" spans="1:5" ht="14.25">
      <c r="A6" s="22">
        <v>2</v>
      </c>
      <c r="B6" s="27">
        <v>227.082</v>
      </c>
      <c r="C6" s="27">
        <f>'夹角计算'!C7</f>
        <v>1252.387</v>
      </c>
      <c r="D6" s="27">
        <f t="shared" si="0"/>
        <v>50.07959339376353</v>
      </c>
      <c r="E6" s="1"/>
    </row>
    <row r="7" spans="1:5" ht="14.25">
      <c r="A7" s="22">
        <v>3</v>
      </c>
      <c r="B7" s="27">
        <v>313.838</v>
      </c>
      <c r="C7" s="27">
        <f>'夹角计算'!C8</f>
        <v>1233.32</v>
      </c>
      <c r="D7" s="27">
        <f t="shared" si="0"/>
        <v>73.52737115892918</v>
      </c>
      <c r="E7" s="1"/>
    </row>
    <row r="8" spans="1:5" ht="14.25">
      <c r="A8" s="22">
        <v>4</v>
      </c>
      <c r="B8" s="27">
        <v>384.103</v>
      </c>
      <c r="C8" s="27">
        <f>'夹角计算'!C9</f>
        <v>1227.952</v>
      </c>
      <c r="D8" s="27">
        <f t="shared" si="0"/>
        <v>82.44342950266747</v>
      </c>
      <c r="E8" s="1"/>
    </row>
    <row r="9" spans="1:5" ht="14.25">
      <c r="A9" s="22">
        <v>5</v>
      </c>
      <c r="B9" s="27">
        <v>460.443</v>
      </c>
      <c r="C9" s="27">
        <f>'夹角计算'!C10</f>
        <v>1222.12</v>
      </c>
      <c r="D9" s="27">
        <f t="shared" si="0"/>
        <v>92.13024732037177</v>
      </c>
      <c r="E9" s="1"/>
    </row>
    <row r="10" spans="1:5" ht="14.25">
      <c r="A10" s="22">
        <v>6</v>
      </c>
      <c r="B10" s="27">
        <v>547.034</v>
      </c>
      <c r="C10" s="27">
        <f>'夹角计算'!C11</f>
        <v>1204.093</v>
      </c>
      <c r="D10" s="27">
        <f t="shared" si="0"/>
        <v>114.52969334673816</v>
      </c>
      <c r="E10" s="1"/>
    </row>
    <row r="11" spans="1:5" ht="14.25">
      <c r="A11" s="22">
        <v>7</v>
      </c>
      <c r="B11" s="27">
        <v>656.488</v>
      </c>
      <c r="C11" s="27">
        <f>'夹角计算'!C12</f>
        <v>1192.707</v>
      </c>
      <c r="D11" s="27">
        <f t="shared" si="0"/>
        <v>131.44261539833616</v>
      </c>
      <c r="E11" s="1"/>
    </row>
    <row r="12" spans="1:5" ht="14.25">
      <c r="A12" s="22">
        <v>8</v>
      </c>
      <c r="B12" s="27">
        <v>765.953</v>
      </c>
      <c r="C12" s="27">
        <f>'夹角计算'!C13</f>
        <v>1182.32</v>
      </c>
      <c r="D12" s="27">
        <f t="shared" si="0"/>
        <v>147.35709289918765</v>
      </c>
      <c r="E12" s="1"/>
    </row>
    <row r="13" spans="1:5" ht="14.25">
      <c r="A13" s="22">
        <v>9</v>
      </c>
      <c r="B13" s="27">
        <v>852.558</v>
      </c>
      <c r="C13" s="27">
        <f>'夹角计算'!C14</f>
        <v>1172.311</v>
      </c>
      <c r="D13" s="27">
        <f t="shared" si="0"/>
        <v>161.7392458609675</v>
      </c>
      <c r="E13" s="1"/>
    </row>
    <row r="14" spans="1:5" ht="14.25">
      <c r="A14" s="22">
        <v>10</v>
      </c>
      <c r="B14" s="27">
        <v>956.557</v>
      </c>
      <c r="C14" s="27">
        <f>'夹角计算'!C15</f>
        <v>1146.866</v>
      </c>
      <c r="D14" s="27">
        <f t="shared" si="0"/>
        <v>192.43571557832948</v>
      </c>
      <c r="E14" s="1"/>
    </row>
    <row r="15" spans="1:5" ht="14.25">
      <c r="A15" s="22">
        <v>11</v>
      </c>
      <c r="B15" s="27">
        <v>1033.535</v>
      </c>
      <c r="C15" s="27">
        <f>'夹角计算'!C16</f>
        <v>1096.975</v>
      </c>
      <c r="D15" s="27">
        <f t="shared" si="0"/>
        <v>246.2137494527235</v>
      </c>
      <c r="E15" s="1"/>
    </row>
    <row r="16" spans="1:5" ht="15.75">
      <c r="A16" s="22">
        <v>12</v>
      </c>
      <c r="B16" s="28">
        <v>1110.809</v>
      </c>
      <c r="C16" s="27">
        <f>'夹角计算'!C17</f>
        <v>1042.362</v>
      </c>
      <c r="D16" s="27">
        <f t="shared" si="0"/>
        <v>304.72872996156894</v>
      </c>
      <c r="E16" s="1"/>
    </row>
    <row r="17" spans="1:5" ht="15.75">
      <c r="A17" s="22">
        <v>13</v>
      </c>
      <c r="B17" s="28">
        <v>1163.99</v>
      </c>
      <c r="C17" s="27">
        <f>'夹角计算'!C18</f>
        <v>1002.373</v>
      </c>
      <c r="D17" s="27">
        <f t="shared" si="0"/>
        <v>347.40312511959</v>
      </c>
      <c r="E17" s="1"/>
    </row>
    <row r="18" spans="1:5" ht="15.75">
      <c r="A18" s="22">
        <v>14</v>
      </c>
      <c r="B18" s="28">
        <v>1235.37</v>
      </c>
      <c r="C18" s="27">
        <f>'夹角计算'!C19</f>
        <v>951.907</v>
      </c>
      <c r="D18" s="27">
        <f t="shared" si="0"/>
        <v>401.47348581945545</v>
      </c>
      <c r="E18" s="1"/>
    </row>
    <row r="19" spans="1:5" ht="15.75">
      <c r="A19" s="22">
        <v>15</v>
      </c>
      <c r="B19" s="28">
        <v>1370.184</v>
      </c>
      <c r="C19" s="27">
        <f>'夹角计算'!C20</f>
        <v>912.95</v>
      </c>
      <c r="D19" s="27">
        <f t="shared" si="0"/>
        <v>447.2379708767776</v>
      </c>
      <c r="E19" s="1"/>
    </row>
    <row r="20" spans="1:5" ht="15.75">
      <c r="A20" s="22">
        <v>16</v>
      </c>
      <c r="B20" s="28">
        <v>1403.046</v>
      </c>
      <c r="C20" s="27">
        <f>'夹角计算'!C21</f>
        <v>892.134</v>
      </c>
      <c r="D20" s="27">
        <f t="shared" si="0"/>
        <v>469.7133502732329</v>
      </c>
      <c r="E20" s="1"/>
    </row>
    <row r="21" spans="1:5" ht="15.75">
      <c r="A21" s="22">
        <v>17</v>
      </c>
      <c r="B21" s="28">
        <v>1487.287</v>
      </c>
      <c r="C21" s="27">
        <f>'夹角计算'!C22</f>
        <v>844.836</v>
      </c>
      <c r="D21" s="27">
        <f t="shared" si="0"/>
        <v>521.265132140946</v>
      </c>
      <c r="E21" s="1"/>
    </row>
    <row r="22" spans="1:5" ht="15.75">
      <c r="A22" s="22">
        <v>18</v>
      </c>
      <c r="B22" s="28">
        <v>1593.986</v>
      </c>
      <c r="C22" s="27">
        <f>'夹角计算'!C23</f>
        <v>769.597</v>
      </c>
      <c r="D22" s="27">
        <f t="shared" si="0"/>
        <v>601.8919394022929</v>
      </c>
      <c r="E22" s="1"/>
    </row>
    <row r="23" spans="1:5" ht="15.75">
      <c r="A23" s="22">
        <v>19</v>
      </c>
      <c r="B23" s="28">
        <v>1692.107</v>
      </c>
      <c r="C23" s="27">
        <f>'夹角计算'!C24</f>
        <v>753.241</v>
      </c>
      <c r="D23" s="27">
        <f t="shared" si="0"/>
        <v>623.2025972368613</v>
      </c>
      <c r="E23" s="1"/>
    </row>
    <row r="24" spans="1:5" ht="15.75">
      <c r="A24" s="22">
        <v>20</v>
      </c>
      <c r="B24" s="28">
        <v>1791.637</v>
      </c>
      <c r="C24" s="27">
        <f>'夹角计算'!C25</f>
        <v>743.705</v>
      </c>
      <c r="D24" s="27">
        <f t="shared" si="0"/>
        <v>637.764403071235</v>
      </c>
      <c r="E24" s="1"/>
    </row>
    <row r="25" spans="1:5" ht="15.75">
      <c r="A25" s="22">
        <v>21</v>
      </c>
      <c r="B25" s="28">
        <v>1902.934</v>
      </c>
      <c r="C25" s="27">
        <f>'夹角计算'!C26</f>
        <v>717.576</v>
      </c>
      <c r="D25" s="27">
        <f t="shared" si="0"/>
        <v>669.5133881204495</v>
      </c>
      <c r="E25" s="1"/>
    </row>
    <row r="26" spans="1:5" ht="15.75">
      <c r="A26" s="22">
        <v>22</v>
      </c>
      <c r="B26" s="28">
        <v>1962.576</v>
      </c>
      <c r="C26" s="27">
        <f>'夹角计算'!C27</f>
        <v>689.948</v>
      </c>
      <c r="D26" s="27">
        <f t="shared" si="0"/>
        <v>700.1530339716876</v>
      </c>
      <c r="E26" s="1"/>
    </row>
    <row r="27" spans="1:5" ht="15.75">
      <c r="A27" s="22">
        <v>23</v>
      </c>
      <c r="B27" s="28">
        <v>2030.337</v>
      </c>
      <c r="C27" s="27">
        <f>'夹角计算'!C28</f>
        <v>657.181</v>
      </c>
      <c r="D27" s="27">
        <f t="shared" si="0"/>
        <v>736.3416518672266</v>
      </c>
      <c r="E27" s="1"/>
    </row>
    <row r="28" spans="1:5" ht="15.75">
      <c r="A28" s="22">
        <v>24</v>
      </c>
      <c r="B28" s="28">
        <v>2128.885</v>
      </c>
      <c r="C28" s="27">
        <f>'夹角计算'!C29</f>
        <v>609.526</v>
      </c>
      <c r="D28" s="27">
        <f t="shared" si="0"/>
        <v>788.9728712318994</v>
      </c>
      <c r="E28" s="1"/>
    </row>
    <row r="29" spans="1:5" ht="15.75">
      <c r="A29" s="22">
        <v>25</v>
      </c>
      <c r="B29" s="28">
        <v>2214.83</v>
      </c>
      <c r="C29" s="27">
        <f>'夹角计算'!C30</f>
        <v>566.029</v>
      </c>
      <c r="D29" s="27">
        <f t="shared" si="0"/>
        <v>836.8096972384828</v>
      </c>
      <c r="E29" s="1"/>
    </row>
    <row r="30" spans="1:5" ht="15.75">
      <c r="A30" s="22">
        <v>26</v>
      </c>
      <c r="B30" s="28">
        <v>2302.684</v>
      </c>
      <c r="C30" s="27">
        <f>'夹角计算'!C31</f>
        <v>530.26</v>
      </c>
      <c r="D30" s="27">
        <f t="shared" si="0"/>
        <v>877.0149189382023</v>
      </c>
      <c r="E30" s="1"/>
    </row>
    <row r="31" spans="1:4" ht="15.75">
      <c r="A31" s="22">
        <v>27</v>
      </c>
      <c r="B31" s="28">
        <v>2403.856</v>
      </c>
      <c r="C31" s="27">
        <f>'夹角计算'!C32</f>
        <v>496.808</v>
      </c>
      <c r="D31" s="27">
        <f t="shared" si="0"/>
        <v>915.5756381974736</v>
      </c>
    </row>
    <row r="32" spans="1:4" ht="15.75">
      <c r="A32" s="22">
        <v>28</v>
      </c>
      <c r="B32" s="28">
        <v>2466.76</v>
      </c>
      <c r="C32" s="27">
        <f>'夹角计算'!C33</f>
        <v>460.573</v>
      </c>
      <c r="D32" s="27">
        <f t="shared" si="0"/>
        <v>954.9870000000001</v>
      </c>
    </row>
    <row r="33" spans="1:4" ht="15.75">
      <c r="A33" t="s">
        <v>187</v>
      </c>
      <c r="B33" s="28">
        <v>2466.76</v>
      </c>
      <c r="C33" s="27">
        <f>'夹角计算'!C34</f>
        <v>460.573</v>
      </c>
      <c r="D33" s="27">
        <f t="shared" si="0"/>
        <v>954.9870000000001</v>
      </c>
    </row>
    <row r="34" spans="1:4" ht="14.25">
      <c r="A34" s="22">
        <v>29</v>
      </c>
      <c r="B34">
        <f>'夹角计算'!B35</f>
        <v>2472.788</v>
      </c>
      <c r="C34" s="27">
        <f>'夹角计算'!C35</f>
        <v>460.573</v>
      </c>
      <c r="D34" s="27">
        <f t="shared" si="0"/>
        <v>955.2913861907928</v>
      </c>
    </row>
    <row r="35" ht="14.25">
      <c r="D35" s="27"/>
    </row>
    <row r="36" ht="14.25">
      <c r="D36" s="27"/>
    </row>
    <row r="37" ht="14.25">
      <c r="D37" s="27"/>
    </row>
    <row r="38" ht="14.25">
      <c r="D38" s="27"/>
    </row>
    <row r="39" ht="14.25">
      <c r="D39" s="27"/>
    </row>
    <row r="40" ht="14.25">
      <c r="D40" s="27"/>
    </row>
    <row r="41" ht="14.25">
      <c r="D41" s="27"/>
    </row>
    <row r="42" ht="14.25">
      <c r="D42" s="27"/>
    </row>
    <row r="43" ht="14.25">
      <c r="D43" s="27"/>
    </row>
    <row r="44" ht="14.25">
      <c r="D44" s="27"/>
    </row>
    <row r="45" ht="14.25">
      <c r="D45" s="27"/>
    </row>
    <row r="46" ht="14.25">
      <c r="D46" s="27"/>
    </row>
    <row r="47" ht="14.25">
      <c r="D47" s="27"/>
    </row>
    <row r="48" ht="14.25">
      <c r="D48" s="27"/>
    </row>
    <row r="49" ht="14.25">
      <c r="D49" s="27"/>
    </row>
    <row r="50" ht="14.25">
      <c r="D50" s="27"/>
    </row>
    <row r="51" ht="14.25">
      <c r="D51" s="27"/>
    </row>
    <row r="52" ht="14.25">
      <c r="D52" s="27"/>
    </row>
    <row r="53" ht="14.25">
      <c r="D53" s="27"/>
    </row>
    <row r="54" ht="14.25">
      <c r="D54" s="27"/>
    </row>
    <row r="55" ht="14.25">
      <c r="D55" s="27"/>
    </row>
    <row r="56" ht="14.25">
      <c r="D56" s="27"/>
    </row>
    <row r="57" ht="14.25">
      <c r="D57" s="27"/>
    </row>
    <row r="58" ht="14.25">
      <c r="D58" s="27"/>
    </row>
    <row r="59" ht="14.25">
      <c r="D59" s="27"/>
    </row>
    <row r="60" ht="14.25">
      <c r="D60" s="27"/>
    </row>
    <row r="61" ht="14.25">
      <c r="D61" s="27"/>
    </row>
    <row r="62" ht="14.25">
      <c r="D62" s="27"/>
    </row>
    <row r="63" ht="14.25">
      <c r="D63" s="27"/>
    </row>
    <row r="64" ht="14.25">
      <c r="D64" s="27"/>
    </row>
    <row r="65" ht="14.25">
      <c r="D65" s="27"/>
    </row>
    <row r="66" ht="14.25">
      <c r="D66" s="27"/>
    </row>
    <row r="67" ht="14.25">
      <c r="D67" s="27"/>
    </row>
    <row r="68" ht="14.25">
      <c r="D68" s="27"/>
    </row>
    <row r="69" ht="14.25">
      <c r="D69" s="27"/>
    </row>
    <row r="70" ht="14.25">
      <c r="D70" s="27"/>
    </row>
    <row r="71" ht="14.25">
      <c r="D71" s="27"/>
    </row>
    <row r="72" ht="14.25">
      <c r="D72" s="27"/>
    </row>
    <row r="73" ht="14.25">
      <c r="D73" s="27"/>
    </row>
    <row r="74" ht="14.25">
      <c r="D74" s="27"/>
    </row>
    <row r="75" ht="14.25">
      <c r="D75" s="27"/>
    </row>
    <row r="76" ht="14.25">
      <c r="D76" s="27"/>
    </row>
    <row r="77" ht="14.25">
      <c r="D77" s="27"/>
    </row>
    <row r="78" ht="14.25">
      <c r="D78" s="27"/>
    </row>
    <row r="79" ht="14.25">
      <c r="D79" s="27"/>
    </row>
    <row r="80" ht="14.25">
      <c r="D80" s="27"/>
    </row>
    <row r="81" ht="14.25">
      <c r="D81" s="27"/>
    </row>
    <row r="82" ht="14.25">
      <c r="D82" s="27"/>
    </row>
    <row r="83" ht="14.25">
      <c r="D83" s="27"/>
    </row>
    <row r="84" ht="14.25">
      <c r="D84" s="27"/>
    </row>
    <row r="85" ht="14.25">
      <c r="D85" s="27"/>
    </row>
    <row r="86" ht="14.25">
      <c r="D86" s="27"/>
    </row>
    <row r="87" ht="14.25">
      <c r="D87" s="27"/>
    </row>
    <row r="88" ht="14.25">
      <c r="D88" s="27"/>
    </row>
    <row r="89" ht="14.25">
      <c r="D89" s="27"/>
    </row>
    <row r="90" ht="14.25">
      <c r="D90" s="27"/>
    </row>
    <row r="91" ht="14.25">
      <c r="D91" s="27"/>
    </row>
    <row r="92" ht="14.25">
      <c r="D92" s="27"/>
    </row>
    <row r="93" ht="14.25">
      <c r="D93" s="27"/>
    </row>
    <row r="94" ht="14.25">
      <c r="D94" s="27"/>
    </row>
    <row r="95" ht="14.25">
      <c r="D95" s="27"/>
    </row>
    <row r="96" ht="14.25">
      <c r="D96" s="27"/>
    </row>
    <row r="97" ht="14.25">
      <c r="D97" s="27"/>
    </row>
    <row r="98" ht="14.25">
      <c r="D98" s="27"/>
    </row>
    <row r="99" ht="14.25">
      <c r="D99" s="27"/>
    </row>
    <row r="100" ht="14.25">
      <c r="D100" s="27"/>
    </row>
    <row r="101" ht="14.25">
      <c r="D101" s="27"/>
    </row>
    <row r="102" ht="14.25">
      <c r="D102" s="27"/>
    </row>
    <row r="103" ht="14.25">
      <c r="D103" s="27"/>
    </row>
    <row r="104" ht="14.25">
      <c r="D104" s="27"/>
    </row>
    <row r="105" ht="14.25">
      <c r="D105" s="27"/>
    </row>
    <row r="106" ht="14.25">
      <c r="D106" s="27"/>
    </row>
    <row r="107" ht="14.25">
      <c r="D107" s="27"/>
    </row>
    <row r="108" ht="14.25">
      <c r="D108" s="27"/>
    </row>
    <row r="109" ht="14.25">
      <c r="D109" s="27"/>
    </row>
    <row r="110" ht="14.25">
      <c r="D110" s="27"/>
    </row>
    <row r="111" ht="14.25">
      <c r="D111" s="27"/>
    </row>
    <row r="112" ht="14.25">
      <c r="D112" s="27"/>
    </row>
    <row r="113" ht="14.25">
      <c r="D113" s="27"/>
    </row>
    <row r="114" ht="14.25">
      <c r="D114" s="27"/>
    </row>
    <row r="115" ht="14.25">
      <c r="D115" s="27"/>
    </row>
    <row r="116" ht="14.25">
      <c r="D116" s="27"/>
    </row>
    <row r="117" ht="14.25">
      <c r="D117" s="27"/>
    </row>
    <row r="118" ht="14.25">
      <c r="D118" s="27"/>
    </row>
    <row r="119" ht="14.25">
      <c r="D119" s="27"/>
    </row>
    <row r="120" ht="14.25">
      <c r="D120" s="27"/>
    </row>
    <row r="121" ht="14.25">
      <c r="D121" s="27"/>
    </row>
    <row r="122" ht="14.25">
      <c r="D122" s="27"/>
    </row>
    <row r="123" ht="14.25">
      <c r="D123" s="27"/>
    </row>
    <row r="124" ht="14.25">
      <c r="D124" s="27"/>
    </row>
    <row r="125" ht="14.25">
      <c r="D125" s="27"/>
    </row>
    <row r="126" ht="14.25">
      <c r="D126" s="27"/>
    </row>
    <row r="127" ht="14.25">
      <c r="D127" s="27"/>
    </row>
    <row r="128" ht="14.25">
      <c r="D128" s="27"/>
    </row>
    <row r="129" ht="14.25">
      <c r="D129" s="27"/>
    </row>
    <row r="130" ht="14.25">
      <c r="D130" s="27"/>
    </row>
    <row r="131" ht="14.25">
      <c r="D131" s="27"/>
    </row>
    <row r="132" ht="14.25">
      <c r="D132" s="27"/>
    </row>
    <row r="133" ht="14.25">
      <c r="D133" s="27"/>
    </row>
    <row r="134" ht="14.25">
      <c r="D134" s="27"/>
    </row>
    <row r="135" ht="14.25">
      <c r="D135" s="27"/>
    </row>
    <row r="136" ht="14.25">
      <c r="D136" s="27"/>
    </row>
    <row r="137" ht="14.25">
      <c r="D137" s="27"/>
    </row>
    <row r="138" ht="14.25">
      <c r="D138" s="27"/>
    </row>
    <row r="139" ht="14.25">
      <c r="D139" s="27"/>
    </row>
    <row r="140" ht="14.25">
      <c r="D140" s="27"/>
    </row>
    <row r="141" ht="14.25">
      <c r="D141" s="27"/>
    </row>
    <row r="142" ht="14.25">
      <c r="D142" s="27"/>
    </row>
    <row r="143" ht="14.25">
      <c r="D143" s="27"/>
    </row>
    <row r="144" ht="14.25">
      <c r="D144" s="27"/>
    </row>
    <row r="145" ht="14.25">
      <c r="D145" s="27"/>
    </row>
    <row r="146" ht="14.25">
      <c r="D146" s="27"/>
    </row>
    <row r="147" ht="14.25">
      <c r="D147" s="27"/>
    </row>
    <row r="148" ht="14.25">
      <c r="D148" s="27"/>
    </row>
    <row r="149" ht="14.25">
      <c r="D149" s="27"/>
    </row>
    <row r="150" ht="14.25">
      <c r="D150" s="27"/>
    </row>
    <row r="151" ht="14.25">
      <c r="D151" s="27"/>
    </row>
    <row r="152" ht="14.25">
      <c r="D152" s="27"/>
    </row>
    <row r="153" ht="14.25">
      <c r="D153" s="27"/>
    </row>
    <row r="154" ht="14.25">
      <c r="D154" s="27"/>
    </row>
    <row r="155" ht="14.25">
      <c r="D155" s="27"/>
    </row>
    <row r="156" ht="14.25">
      <c r="D156" s="27"/>
    </row>
    <row r="157" ht="14.25">
      <c r="D157" s="27"/>
    </row>
    <row r="158" ht="14.25">
      <c r="D158" s="27"/>
    </row>
    <row r="159" ht="14.25">
      <c r="D159" s="27"/>
    </row>
    <row r="160" ht="14.25">
      <c r="D160" s="27"/>
    </row>
    <row r="161" ht="14.25">
      <c r="D161" s="27"/>
    </row>
    <row r="162" ht="14.25">
      <c r="D162" s="27"/>
    </row>
    <row r="163" ht="14.25">
      <c r="D163" s="27"/>
    </row>
    <row r="164" ht="14.25">
      <c r="D164" s="27"/>
    </row>
    <row r="165" ht="14.25">
      <c r="D165" s="27"/>
    </row>
    <row r="166" ht="14.25">
      <c r="D166" s="27"/>
    </row>
    <row r="167" ht="14.25">
      <c r="D167" s="27"/>
    </row>
    <row r="168" ht="14.25">
      <c r="D168" s="27"/>
    </row>
    <row r="169" ht="14.25">
      <c r="D169" s="27"/>
    </row>
    <row r="170" ht="14.25">
      <c r="D170" s="27"/>
    </row>
    <row r="171" ht="14.25">
      <c r="D171" s="27"/>
    </row>
    <row r="172" ht="14.25">
      <c r="D172" s="27"/>
    </row>
    <row r="173" ht="14.25">
      <c r="D173" s="27"/>
    </row>
    <row r="174" ht="14.25">
      <c r="D174" s="27"/>
    </row>
    <row r="175" ht="14.25">
      <c r="D175" s="27"/>
    </row>
    <row r="176" ht="14.25">
      <c r="D176" s="27"/>
    </row>
    <row r="177" ht="14.25">
      <c r="D177" s="27"/>
    </row>
    <row r="178" ht="14.25">
      <c r="D178" s="27"/>
    </row>
    <row r="179" ht="14.25">
      <c r="D179" s="27"/>
    </row>
    <row r="180" ht="14.25">
      <c r="D180" s="27"/>
    </row>
    <row r="181" ht="14.25">
      <c r="D181" s="27"/>
    </row>
    <row r="182" ht="14.25">
      <c r="D182" s="27"/>
    </row>
    <row r="183" ht="14.25">
      <c r="D183" s="27"/>
    </row>
    <row r="184" ht="14.25">
      <c r="D184" s="27"/>
    </row>
    <row r="185" ht="14.25">
      <c r="D185" s="27"/>
    </row>
    <row r="186" ht="14.25">
      <c r="D186" s="27"/>
    </row>
    <row r="187" ht="14.25">
      <c r="D187" s="27"/>
    </row>
    <row r="188" ht="14.25">
      <c r="D188" s="27"/>
    </row>
    <row r="189" ht="14.25">
      <c r="D189" s="27"/>
    </row>
    <row r="190" ht="14.25">
      <c r="D190" s="27"/>
    </row>
    <row r="191" ht="14.25">
      <c r="D191" s="27"/>
    </row>
    <row r="192" ht="14.25">
      <c r="D192" s="27"/>
    </row>
    <row r="193" ht="14.25">
      <c r="D193" s="27"/>
    </row>
    <row r="194" ht="14.25">
      <c r="D194" s="27"/>
    </row>
    <row r="195" ht="14.25">
      <c r="D195" s="27"/>
    </row>
    <row r="196" ht="14.25">
      <c r="D196" s="27"/>
    </row>
    <row r="197" ht="14.25">
      <c r="D197" s="27"/>
    </row>
    <row r="198" ht="14.25">
      <c r="D198" s="27"/>
    </row>
    <row r="199" ht="14.25">
      <c r="D199" s="27"/>
    </row>
    <row r="200" ht="14.25">
      <c r="D200" s="27"/>
    </row>
    <row r="201" ht="14.25">
      <c r="D201" s="27"/>
    </row>
    <row r="202" ht="14.25">
      <c r="D202" s="27"/>
    </row>
    <row r="203" ht="14.25">
      <c r="D203" s="27"/>
    </row>
    <row r="204" ht="14.25">
      <c r="D204" s="27"/>
    </row>
    <row r="205" ht="14.25">
      <c r="D205" s="27"/>
    </row>
    <row r="206" ht="14.25">
      <c r="D206" s="27"/>
    </row>
    <row r="207" ht="14.25">
      <c r="D207" s="27"/>
    </row>
    <row r="208" ht="14.25">
      <c r="D208" s="27"/>
    </row>
    <row r="209" ht="14.25">
      <c r="D209" s="27"/>
    </row>
    <row r="210" ht="14.25">
      <c r="D210" s="27"/>
    </row>
    <row r="211" ht="14.25">
      <c r="D211" s="27"/>
    </row>
    <row r="212" ht="14.25">
      <c r="D212" s="27"/>
    </row>
    <row r="213" ht="14.25">
      <c r="D213" s="27"/>
    </row>
    <row r="214" ht="14.25">
      <c r="D214" s="27"/>
    </row>
    <row r="215" ht="14.25">
      <c r="D215" s="27"/>
    </row>
    <row r="216" ht="14.25">
      <c r="D216" s="27"/>
    </row>
    <row r="217" ht="14.25">
      <c r="D217" s="27"/>
    </row>
    <row r="218" ht="14.25">
      <c r="D218" s="27"/>
    </row>
    <row r="219" ht="14.25">
      <c r="D219" s="27"/>
    </row>
    <row r="220" ht="14.25">
      <c r="D220" s="27"/>
    </row>
    <row r="221" ht="14.25">
      <c r="D221" s="27"/>
    </row>
    <row r="222" ht="14.25">
      <c r="D222" s="27"/>
    </row>
    <row r="223" ht="14.25">
      <c r="D223" s="27"/>
    </row>
    <row r="224" ht="14.25">
      <c r="D224" s="27"/>
    </row>
    <row r="225" ht="14.25">
      <c r="D225" s="27"/>
    </row>
    <row r="226" ht="14.25">
      <c r="D226" s="27"/>
    </row>
    <row r="227" ht="14.25">
      <c r="D227" s="27"/>
    </row>
    <row r="228" ht="14.25">
      <c r="D228" s="27"/>
    </row>
    <row r="229" ht="14.25">
      <c r="D229" s="27"/>
    </row>
    <row r="230" ht="14.25">
      <c r="D230" s="27"/>
    </row>
    <row r="231" ht="14.25">
      <c r="D231" s="27"/>
    </row>
  </sheetData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G14" sqref="G14"/>
    </sheetView>
  </sheetViews>
  <sheetFormatPr defaultColWidth="9.00390625" defaultRowHeight="14.25"/>
  <cols>
    <col min="2" max="2" width="22.25390625" style="0" bestFit="1" customWidth="1"/>
    <col min="3" max="3" width="15.875" style="0" customWidth="1"/>
    <col min="4" max="4" width="11.50390625" style="0" customWidth="1"/>
    <col min="5" max="5" width="12.875" style="0" customWidth="1"/>
    <col min="6" max="6" width="19.375" style="0" customWidth="1"/>
  </cols>
  <sheetData>
    <row r="1" spans="1:6" ht="15.75">
      <c r="A1" s="52" t="s">
        <v>6</v>
      </c>
      <c r="B1" s="52"/>
      <c r="C1" s="52"/>
      <c r="D1" s="52"/>
      <c r="E1" s="52"/>
      <c r="F1" s="52"/>
    </row>
    <row r="2" spans="1:6" ht="15.75">
      <c r="A2" s="5" t="s">
        <v>7</v>
      </c>
      <c r="B2" s="5" t="s">
        <v>8</v>
      </c>
      <c r="C2" s="5" t="s">
        <v>12</v>
      </c>
      <c r="D2" s="6" t="s">
        <v>13</v>
      </c>
      <c r="E2" s="6" t="s">
        <v>10</v>
      </c>
      <c r="F2" s="6" t="s">
        <v>11</v>
      </c>
    </row>
    <row r="3" spans="1:6" ht="15.75">
      <c r="A3" s="6" t="s">
        <v>14</v>
      </c>
      <c r="B3" s="6" t="s">
        <v>25</v>
      </c>
      <c r="C3" s="7">
        <v>0.006</v>
      </c>
      <c r="D3" s="7">
        <v>0.603</v>
      </c>
      <c r="E3" s="7">
        <f>3.14*D3*C3*78.5</f>
        <v>0.89180082</v>
      </c>
      <c r="F3" s="5">
        <v>2.77</v>
      </c>
    </row>
    <row r="4" spans="1:6" ht="15.75">
      <c r="A4" s="6" t="s">
        <v>15</v>
      </c>
      <c r="B4" s="6" t="s">
        <v>26</v>
      </c>
      <c r="C4" s="7">
        <v>0.008</v>
      </c>
      <c r="D4" s="7">
        <v>0.604</v>
      </c>
      <c r="E4" s="7">
        <f aca="true" t="shared" si="0" ref="E4:E14">3.14*D4*C4*78.5</f>
        <v>1.19103968</v>
      </c>
      <c r="F4" s="5">
        <v>2.77</v>
      </c>
    </row>
    <row r="5" spans="1:6" ht="15.75">
      <c r="A5" s="6" t="s">
        <v>16</v>
      </c>
      <c r="B5" s="6" t="s">
        <v>27</v>
      </c>
      <c r="C5" s="7">
        <v>0.01</v>
      </c>
      <c r="D5" s="7">
        <v>0.605</v>
      </c>
      <c r="E5" s="7">
        <f t="shared" si="0"/>
        <v>1.4912645</v>
      </c>
      <c r="F5" s="5">
        <v>2.77</v>
      </c>
    </row>
    <row r="6" spans="1:6" ht="15.75">
      <c r="A6" s="6" t="s">
        <v>17</v>
      </c>
      <c r="B6" s="6" t="s">
        <v>28</v>
      </c>
      <c r="C6" s="7">
        <v>0.012</v>
      </c>
      <c r="D6" s="7">
        <v>0.606</v>
      </c>
      <c r="E6" s="7">
        <f t="shared" si="0"/>
        <v>1.7924752800000003</v>
      </c>
      <c r="F6" s="5">
        <v>2.77</v>
      </c>
    </row>
    <row r="7" spans="1:6" ht="15.75">
      <c r="A7" s="6" t="s">
        <v>18</v>
      </c>
      <c r="B7" s="6" t="s">
        <v>29</v>
      </c>
      <c r="C7" s="7">
        <v>0.014</v>
      </c>
      <c r="D7" s="7">
        <v>0.607</v>
      </c>
      <c r="E7" s="7">
        <f t="shared" si="0"/>
        <v>2.09467202</v>
      </c>
      <c r="F7" s="5">
        <v>2.77</v>
      </c>
    </row>
    <row r="8" spans="1:6" ht="18.75">
      <c r="A8" s="6" t="s">
        <v>19</v>
      </c>
      <c r="B8" s="5" t="s">
        <v>30</v>
      </c>
      <c r="C8" s="7">
        <v>0.016</v>
      </c>
      <c r="D8" s="7">
        <v>0.608</v>
      </c>
      <c r="E8" s="7">
        <f t="shared" si="0"/>
        <v>2.39785472</v>
      </c>
      <c r="F8" s="5">
        <v>2.77</v>
      </c>
    </row>
    <row r="9" spans="1:6" ht="15.75">
      <c r="A9" s="6" t="s">
        <v>20</v>
      </c>
      <c r="B9" s="5" t="s">
        <v>31</v>
      </c>
      <c r="C9" s="7">
        <v>0.018</v>
      </c>
      <c r="D9" s="7">
        <v>0.609</v>
      </c>
      <c r="E9" s="7">
        <f t="shared" si="0"/>
        <v>2.70202338</v>
      </c>
      <c r="F9" s="5">
        <v>2.77</v>
      </c>
    </row>
    <row r="10" spans="1:6" ht="18.75">
      <c r="A10" s="6" t="s">
        <v>21</v>
      </c>
      <c r="B10" s="8" t="s">
        <v>32</v>
      </c>
      <c r="C10" s="7">
        <v>0.02</v>
      </c>
      <c r="D10" s="7">
        <v>0.61</v>
      </c>
      <c r="E10" s="7">
        <f t="shared" si="0"/>
        <v>3.007178</v>
      </c>
      <c r="F10" s="5">
        <v>2.77</v>
      </c>
    </row>
    <row r="11" spans="1:6" ht="18.75">
      <c r="A11" s="6" t="s">
        <v>22</v>
      </c>
      <c r="B11" s="8" t="s">
        <v>34</v>
      </c>
      <c r="C11" s="7">
        <v>0.022</v>
      </c>
      <c r="D11" s="7">
        <v>0.611</v>
      </c>
      <c r="E11" s="7">
        <f t="shared" si="0"/>
        <v>3.3133185800000002</v>
      </c>
      <c r="F11" s="5">
        <v>2.77</v>
      </c>
    </row>
    <row r="12" spans="1:6" ht="18.75">
      <c r="A12" s="6" t="s">
        <v>23</v>
      </c>
      <c r="B12" s="8" t="s">
        <v>33</v>
      </c>
      <c r="C12" s="7">
        <v>0.024</v>
      </c>
      <c r="D12" s="7">
        <v>0.612</v>
      </c>
      <c r="E12" s="7">
        <f t="shared" si="0"/>
        <v>3.62044512</v>
      </c>
      <c r="F12" s="5">
        <v>2.77</v>
      </c>
    </row>
    <row r="13" spans="1:6" ht="18.75">
      <c r="A13" s="6" t="s">
        <v>24</v>
      </c>
      <c r="B13" s="8" t="s">
        <v>35</v>
      </c>
      <c r="C13" s="7">
        <v>0.024</v>
      </c>
      <c r="D13" s="7">
        <v>0.61</v>
      </c>
      <c r="E13" s="7">
        <f t="shared" si="0"/>
        <v>3.6086136</v>
      </c>
      <c r="F13" s="5">
        <v>2.77</v>
      </c>
    </row>
    <row r="14" spans="1:6" ht="15.75">
      <c r="A14" s="6" t="s">
        <v>189</v>
      </c>
      <c r="B14" s="8"/>
      <c r="C14" s="7">
        <v>0.024</v>
      </c>
      <c r="D14" s="7">
        <v>0.31</v>
      </c>
      <c r="E14" s="7">
        <f t="shared" si="0"/>
        <v>1.8338856000000003</v>
      </c>
      <c r="F14" s="5">
        <v>2.77</v>
      </c>
    </row>
    <row r="15" spans="1:6" ht="14.25">
      <c r="A15" s="53" t="s">
        <v>36</v>
      </c>
      <c r="B15" s="53"/>
      <c r="C15" s="53"/>
      <c r="D15" s="53"/>
      <c r="E15" s="53"/>
      <c r="F15" s="53"/>
    </row>
    <row r="16" spans="1:6" ht="14.25">
      <c r="A16" s="53"/>
      <c r="B16" s="53"/>
      <c r="C16" s="53"/>
      <c r="D16" s="53"/>
      <c r="E16" s="53"/>
      <c r="F16" s="53"/>
    </row>
  </sheetData>
  <mergeCells count="2">
    <mergeCell ref="A1:F1"/>
    <mergeCell ref="A15:F1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0">
      <selection activeCell="J33" sqref="J33:J34"/>
    </sheetView>
  </sheetViews>
  <sheetFormatPr defaultColWidth="9.00390625" defaultRowHeight="14.25"/>
  <sheetData>
    <row r="1" spans="1:10" ht="15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8.75">
      <c r="A2" s="3" t="s">
        <v>1</v>
      </c>
      <c r="B2" s="4" t="s">
        <v>38</v>
      </c>
      <c r="C2" s="4" t="s">
        <v>39</v>
      </c>
      <c r="D2" s="4" t="s">
        <v>85</v>
      </c>
      <c r="E2" s="4" t="s">
        <v>45</v>
      </c>
      <c r="F2" s="9" t="str">
        <f>'夹角计算'!G2:G3</f>
        <v>两轴线</v>
      </c>
      <c r="G2" s="9" t="s">
        <v>40</v>
      </c>
      <c r="H2" s="3" t="s">
        <v>44</v>
      </c>
      <c r="I2" s="3" t="s">
        <v>43</v>
      </c>
      <c r="J2" s="3" t="s">
        <v>42</v>
      </c>
    </row>
    <row r="3" spans="1:11" ht="14.25">
      <c r="A3" s="3">
        <f>'夹角计算'!A4</f>
        <v>0</v>
      </c>
      <c r="B3" s="1">
        <f>0</f>
        <v>0</v>
      </c>
      <c r="C3" s="1">
        <v>36.242</v>
      </c>
      <c r="D3" s="3">
        <f>'夹角计算'!E4</f>
        <v>0</v>
      </c>
      <c r="E3" s="3">
        <f>'夹角计算'!F4</f>
        <v>4.861</v>
      </c>
      <c r="F3" s="9" t="str">
        <f>'夹角计算'!G3:G4</f>
        <v>水平夹角</v>
      </c>
      <c r="G3" s="1">
        <f>'镇墩转弯处水头'!D3</f>
        <v>6.634999999999991</v>
      </c>
      <c r="H3" s="1">
        <f>G3-2*TAN(D3*3.14/180)*SIN(D3*3.14/180)</f>
        <v>6.634999999999991</v>
      </c>
      <c r="I3" s="1">
        <f>G3+2*TAN(E3*3.14/180)*SIN(E3*3.14/180)</f>
        <v>6.6493985123240265</v>
      </c>
      <c r="J3" s="1">
        <f>G3+C3*SIN(E3*3.14/180)</f>
        <v>9.704547242076892</v>
      </c>
      <c r="K3" s="13"/>
    </row>
    <row r="4" spans="1:11" ht="15.75">
      <c r="A4" s="3">
        <v>1</v>
      </c>
      <c r="B4" s="2">
        <f>C3</f>
        <v>36.242</v>
      </c>
      <c r="C4" s="1">
        <v>38.12</v>
      </c>
      <c r="D4" s="3">
        <f>'夹角计算'!E5</f>
        <v>4.861</v>
      </c>
      <c r="E4" s="3">
        <f>'夹角计算'!F5</f>
        <v>7.461</v>
      </c>
      <c r="F4" s="9">
        <f>'夹角计算'!G4:G5</f>
        <v>11.23</v>
      </c>
      <c r="G4" s="1">
        <f>'镇墩转弯处水头'!D4</f>
        <v>16.460107606739157</v>
      </c>
      <c r="H4" s="1">
        <f aca="true" t="shared" si="0" ref="H4:H34">G4-2*TAN(D4*3.14/180)*SIN(D4*3.14/180)</f>
        <v>16.445709094415122</v>
      </c>
      <c r="I4" s="1">
        <f aca="true" t="shared" si="1" ref="I4:I34">G4+2*TAN(E4*3.14/180)*SIN(E4*3.14/180)</f>
        <v>16.49408370873366</v>
      </c>
      <c r="J4" s="1">
        <f aca="true" t="shared" si="2" ref="J4:J34">G4+C4*SIN(E4*3.14/180)</f>
        <v>21.407544211466206</v>
      </c>
      <c r="K4" s="13"/>
    </row>
    <row r="5" spans="1:11" ht="15.75">
      <c r="A5" s="4" t="s">
        <v>173</v>
      </c>
      <c r="B5" s="1">
        <f>C4</f>
        <v>38.12</v>
      </c>
      <c r="C5" s="1">
        <v>2</v>
      </c>
      <c r="D5" s="3">
        <f>'夹角计算'!E6</f>
        <v>7.461</v>
      </c>
      <c r="E5" s="3">
        <f>'夹角计算'!F6</f>
        <v>11.414</v>
      </c>
      <c r="F5" s="9">
        <f>'夹角计算'!G5:G6</f>
        <v>26.957</v>
      </c>
      <c r="G5" s="1">
        <f>'镇墩转弯处水头'!D5</f>
        <v>30.276775851724462</v>
      </c>
      <c r="H5" s="1">
        <f t="shared" si="0"/>
        <v>30.24279974972996</v>
      </c>
      <c r="I5" s="1">
        <f t="shared" si="1"/>
        <v>30.356600960243167</v>
      </c>
      <c r="J5" s="1">
        <f t="shared" si="2"/>
        <v>30.67237158032444</v>
      </c>
      <c r="K5" s="13"/>
    </row>
    <row r="6" spans="1:11" ht="15.75">
      <c r="A6" s="3">
        <v>2</v>
      </c>
      <c r="B6" s="2">
        <f>78.459/2-2</f>
        <v>37.2295</v>
      </c>
      <c r="C6" s="1">
        <v>2</v>
      </c>
      <c r="D6" s="3">
        <f>'夹角计算'!E7</f>
        <v>11.414</v>
      </c>
      <c r="E6" s="3">
        <f>'夹角计算'!F7</f>
        <v>12.395</v>
      </c>
      <c r="F6" s="9">
        <f>'夹角计算'!G6:G7</f>
        <v>4.698</v>
      </c>
      <c r="G6" s="1">
        <f>'镇墩转弯处水头'!D6</f>
        <v>50.07959339376353</v>
      </c>
      <c r="H6" s="1">
        <f t="shared" si="0"/>
        <v>49.999768285244826</v>
      </c>
      <c r="I6" s="1">
        <f t="shared" si="1"/>
        <v>50.17384547547024</v>
      </c>
      <c r="J6" s="1">
        <f t="shared" si="2"/>
        <v>50.508679351301296</v>
      </c>
      <c r="K6" s="13"/>
    </row>
    <row r="7" spans="1:11" ht="15.75">
      <c r="A7" s="3">
        <v>3</v>
      </c>
      <c r="B7" s="2">
        <f>86.756/2-2</f>
        <v>41.378</v>
      </c>
      <c r="C7" s="2">
        <f>70.265/2</f>
        <v>35.1325</v>
      </c>
      <c r="D7" s="3">
        <f>'夹角计算'!E8</f>
        <v>12.395</v>
      </c>
      <c r="E7" s="3">
        <f>'夹角计算'!F8</f>
        <v>4.368</v>
      </c>
      <c r="F7" s="9">
        <f>'夹角计算'!G7:G8</f>
        <v>55.788</v>
      </c>
      <c r="G7" s="1">
        <f>'镇墩转弯处水头'!D7</f>
        <v>73.52737115892918</v>
      </c>
      <c r="H7" s="1">
        <f t="shared" si="0"/>
        <v>73.43311907722249</v>
      </c>
      <c r="I7" s="1">
        <f t="shared" si="1"/>
        <v>73.53899449660462</v>
      </c>
      <c r="J7" s="1">
        <f t="shared" si="2"/>
        <v>76.20178426279044</v>
      </c>
      <c r="K7" s="13"/>
    </row>
    <row r="8" spans="1:11" ht="15.75">
      <c r="A8" s="3">
        <v>4</v>
      </c>
      <c r="B8" s="1">
        <f>C7</f>
        <v>35.1325</v>
      </c>
      <c r="C8" s="2">
        <f>76.34/2</f>
        <v>38.17</v>
      </c>
      <c r="D8" s="3">
        <f>'夹角计算'!E9</f>
        <v>4.368</v>
      </c>
      <c r="E8" s="3">
        <f>'夹角计算'!F9</f>
        <v>4.368</v>
      </c>
      <c r="F8" s="9">
        <f>'夹角计算'!G8:G9</f>
        <v>43.734</v>
      </c>
      <c r="G8" s="1">
        <f>'镇墩转弯处水头'!D8</f>
        <v>82.44342950266747</v>
      </c>
      <c r="H8" s="1">
        <f t="shared" si="0"/>
        <v>82.43180616499204</v>
      </c>
      <c r="I8" s="1">
        <f t="shared" si="1"/>
        <v>82.4550528403429</v>
      </c>
      <c r="J8" s="1">
        <f t="shared" si="2"/>
        <v>85.349068104372</v>
      </c>
      <c r="K8" s="13"/>
    </row>
    <row r="9" spans="1:11" ht="14.25">
      <c r="A9" s="3">
        <v>5</v>
      </c>
      <c r="B9" s="1">
        <f>C8</f>
        <v>38.17</v>
      </c>
      <c r="C9" s="1">
        <v>2</v>
      </c>
      <c r="D9" s="3">
        <f>'夹角计算'!E10</f>
        <v>4.368</v>
      </c>
      <c r="E9" s="3">
        <f>'夹角计算'!F10</f>
        <v>11.760000000000002</v>
      </c>
      <c r="F9" s="9">
        <f>'夹角计算'!G9:G10</f>
        <v>0</v>
      </c>
      <c r="G9" s="1">
        <f>'镇墩转弯处水头'!D9</f>
        <v>92.13024732037177</v>
      </c>
      <c r="H9" s="1">
        <f t="shared" si="0"/>
        <v>92.11862398269633</v>
      </c>
      <c r="I9" s="1">
        <f t="shared" si="1"/>
        <v>92.21502107327906</v>
      </c>
      <c r="J9" s="1">
        <f t="shared" si="2"/>
        <v>92.53766882702347</v>
      </c>
      <c r="K9" s="13"/>
    </row>
    <row r="10" spans="1:11" ht="15.75">
      <c r="A10" s="3">
        <v>6</v>
      </c>
      <c r="B10" s="2">
        <f>86.591-2</f>
        <v>84.591</v>
      </c>
      <c r="C10" s="2">
        <f>109.454/2</f>
        <v>54.727</v>
      </c>
      <c r="D10" s="3">
        <f>'夹角计算'!E11</f>
        <v>11.760000000000002</v>
      </c>
      <c r="E10" s="3">
        <f>'夹角计算'!F11</f>
        <v>5.9380000000000015</v>
      </c>
      <c r="F10" s="9">
        <f>'夹角计算'!G10:G11</f>
        <v>0</v>
      </c>
      <c r="G10" s="1">
        <f>'镇墩转弯处水头'!D10</f>
        <v>114.52969334673816</v>
      </c>
      <c r="H10" s="1">
        <f t="shared" si="0"/>
        <v>114.44491959383086</v>
      </c>
      <c r="I10" s="1">
        <f t="shared" si="1"/>
        <v>114.5511916876326</v>
      </c>
      <c r="J10" s="1">
        <f t="shared" si="2"/>
        <v>120.18846339076629</v>
      </c>
      <c r="K10" s="13"/>
    </row>
    <row r="11" spans="1:11" ht="15.75">
      <c r="A11" s="3">
        <v>7</v>
      </c>
      <c r="B11" s="1">
        <f>C10</f>
        <v>54.727</v>
      </c>
      <c r="C11" s="2">
        <f>109.465/2</f>
        <v>54.7325</v>
      </c>
      <c r="D11" s="3">
        <f>'夹角计算'!E12</f>
        <v>5.9380000000000015</v>
      </c>
      <c r="E11" s="3">
        <f>'夹角计算'!F12</f>
        <v>5.9380000000000015</v>
      </c>
      <c r="F11" s="9">
        <f>'夹角计算'!G11:G12</f>
        <v>0</v>
      </c>
      <c r="G11" s="1">
        <f>'镇墩转弯处水头'!D11</f>
        <v>131.44261539833616</v>
      </c>
      <c r="H11" s="1">
        <f t="shared" si="0"/>
        <v>131.4211170574417</v>
      </c>
      <c r="I11" s="1">
        <f t="shared" si="1"/>
        <v>131.4641137392306</v>
      </c>
      <c r="J11" s="1">
        <f t="shared" si="2"/>
        <v>137.10195414218782</v>
      </c>
      <c r="K11" s="13"/>
    </row>
    <row r="12" spans="1:11" ht="15.75">
      <c r="A12" s="3">
        <v>8</v>
      </c>
      <c r="B12" s="1">
        <f>C11</f>
        <v>54.7325</v>
      </c>
      <c r="C12" s="2">
        <f>86.605/2</f>
        <v>43.3025</v>
      </c>
      <c r="D12" s="3">
        <f>'夹角计算'!E13</f>
        <v>5.9380000000000015</v>
      </c>
      <c r="E12" s="3">
        <f>'夹角计算'!F13</f>
        <v>5.9380000000000015</v>
      </c>
      <c r="F12" s="9">
        <f>'夹角计算'!G12:G13</f>
        <v>0</v>
      </c>
      <c r="G12" s="1">
        <f>'镇墩转弯处水头'!D12</f>
        <v>147.35709289918765</v>
      </c>
      <c r="H12" s="1">
        <f t="shared" si="0"/>
        <v>147.3355945582932</v>
      </c>
      <c r="I12" s="1">
        <f t="shared" si="1"/>
        <v>147.3785912400821</v>
      </c>
      <c r="J12" s="1">
        <f t="shared" si="2"/>
        <v>151.83457000978257</v>
      </c>
      <c r="K12" s="13"/>
    </row>
    <row r="13" spans="1:11" ht="14.25">
      <c r="A13" s="3">
        <v>9</v>
      </c>
      <c r="B13" s="1">
        <f>C12</f>
        <v>43.3025</v>
      </c>
      <c r="C13" s="1">
        <v>2</v>
      </c>
      <c r="D13" s="3">
        <f>'夹角计算'!E14</f>
        <v>5.9380000000000015</v>
      </c>
      <c r="E13" s="3">
        <f>'夹角计算'!F14</f>
        <v>13.747000000000002</v>
      </c>
      <c r="F13" s="9">
        <f>'夹角计算'!G13:G14</f>
        <v>0</v>
      </c>
      <c r="G13" s="1">
        <f>'镇墩转弯处水头'!D13</f>
        <v>161.7392458609675</v>
      </c>
      <c r="H13" s="1">
        <f t="shared" si="0"/>
        <v>161.71774752007303</v>
      </c>
      <c r="I13" s="1">
        <f t="shared" si="1"/>
        <v>161.85539828432687</v>
      </c>
      <c r="J13" s="1">
        <f t="shared" si="2"/>
        <v>162.21427962232005</v>
      </c>
      <c r="K13" s="13"/>
    </row>
    <row r="14" spans="1:11" ht="15.75">
      <c r="A14" s="3">
        <v>10</v>
      </c>
      <c r="B14" s="2">
        <f>103.999-2</f>
        <v>101.999</v>
      </c>
      <c r="C14" s="1">
        <v>2</v>
      </c>
      <c r="D14" s="3">
        <f>'夹角计算'!E15</f>
        <v>13.747000000000002</v>
      </c>
      <c r="E14" s="3">
        <f>'夹角计算'!F15</f>
        <v>32.947</v>
      </c>
      <c r="F14" s="9">
        <f>'夹角计算'!G14:G15</f>
        <v>0</v>
      </c>
      <c r="G14" s="1">
        <f>'镇墩转弯处水头'!D14</f>
        <v>192.43571557832948</v>
      </c>
      <c r="H14" s="1">
        <f t="shared" si="0"/>
        <v>192.3195631549701</v>
      </c>
      <c r="I14" s="1">
        <f t="shared" si="1"/>
        <v>193.13989635721273</v>
      </c>
      <c r="J14" s="1">
        <f t="shared" si="2"/>
        <v>193.52295228679205</v>
      </c>
      <c r="K14" s="13"/>
    </row>
    <row r="15" spans="1:11" ht="14.25">
      <c r="A15" s="3">
        <v>11</v>
      </c>
      <c r="B15" s="1">
        <v>74.987</v>
      </c>
      <c r="C15" s="1">
        <v>2</v>
      </c>
      <c r="D15" s="3">
        <f>'夹角计算'!E16</f>
        <v>32.947</v>
      </c>
      <c r="E15" s="3">
        <f>'夹角计算'!F16</f>
        <v>35.249</v>
      </c>
      <c r="F15" s="9">
        <f>'夹角计算'!G15:G16</f>
        <v>34.87</v>
      </c>
      <c r="G15" s="1">
        <f>'镇墩转弯处水头'!D15</f>
        <v>246.2137494527235</v>
      </c>
      <c r="H15" s="1">
        <f t="shared" si="0"/>
        <v>245.50956867384025</v>
      </c>
      <c r="I15" s="1">
        <f t="shared" si="1"/>
        <v>247.0285714137234</v>
      </c>
      <c r="J15" s="1">
        <f t="shared" si="2"/>
        <v>247.36750186620904</v>
      </c>
      <c r="K15" s="13"/>
    </row>
    <row r="16" spans="1:11" ht="14.25">
      <c r="A16" s="3">
        <v>12</v>
      </c>
      <c r="B16" s="1">
        <v>75.274</v>
      </c>
      <c r="C16" s="1">
        <v>2</v>
      </c>
      <c r="D16" s="3">
        <f>'夹角计算'!E17</f>
        <v>35.249</v>
      </c>
      <c r="E16" s="3">
        <f>'夹角计算'!F17</f>
        <v>36.939</v>
      </c>
      <c r="F16" s="9">
        <f>'夹角计算'!G16:G17</f>
        <v>2.246</v>
      </c>
      <c r="G16" s="1">
        <f>'镇墩转弯处水头'!D16</f>
        <v>304.72872996156894</v>
      </c>
      <c r="H16" s="1">
        <f t="shared" si="0"/>
        <v>303.91390800056905</v>
      </c>
      <c r="I16" s="1">
        <f t="shared" si="1"/>
        <v>305.63143625047917</v>
      </c>
      <c r="J16" s="1">
        <f t="shared" si="2"/>
        <v>305.93013625683034</v>
      </c>
      <c r="K16" s="13"/>
    </row>
    <row r="17" spans="1:11" ht="14.25">
      <c r="A17" s="3">
        <v>13</v>
      </c>
      <c r="B17" s="1">
        <v>51.181</v>
      </c>
      <c r="C17" s="1">
        <v>2</v>
      </c>
      <c r="D17" s="3">
        <f>'夹角计算'!E18</f>
        <v>36.939</v>
      </c>
      <c r="E17" s="3">
        <f>'夹角计算'!F18</f>
        <v>35.259</v>
      </c>
      <c r="F17" s="9">
        <f>'夹角计算'!G17:G18</f>
        <v>0</v>
      </c>
      <c r="G17" s="1">
        <f>'镇墩转弯处水头'!D17</f>
        <v>347.40312511959</v>
      </c>
      <c r="H17" s="1">
        <f t="shared" si="0"/>
        <v>346.5004188306798</v>
      </c>
      <c r="I17" s="1">
        <f t="shared" si="1"/>
        <v>348.21845009653885</v>
      </c>
      <c r="J17" s="1">
        <f t="shared" si="2"/>
        <v>348.5571624989842</v>
      </c>
      <c r="K17" s="13"/>
    </row>
    <row r="18" spans="1:11" ht="14.25">
      <c r="A18" s="3">
        <v>14</v>
      </c>
      <c r="B18" s="1">
        <v>69.38</v>
      </c>
      <c r="C18" s="1">
        <v>2</v>
      </c>
      <c r="D18" s="3">
        <f>'夹角计算'!E19</f>
        <v>35.259</v>
      </c>
      <c r="E18" s="3">
        <f>'夹角计算'!F19</f>
        <v>27.506</v>
      </c>
      <c r="F18" s="9">
        <f>'夹角计算'!G18:G19</f>
        <v>0</v>
      </c>
      <c r="G18" s="1">
        <f>'镇墩转弯处水头'!D18</f>
        <v>401.47348581945545</v>
      </c>
      <c r="H18" s="1">
        <f t="shared" si="0"/>
        <v>400.6581608425066</v>
      </c>
      <c r="I18" s="1">
        <f t="shared" si="1"/>
        <v>401.9539373018271</v>
      </c>
      <c r="J18" s="1">
        <f t="shared" si="2"/>
        <v>402.3967370593483</v>
      </c>
      <c r="K18" s="13"/>
    </row>
    <row r="19" spans="1:11" ht="14.25">
      <c r="A19" s="3">
        <v>15</v>
      </c>
      <c r="B19" s="1">
        <v>132.814</v>
      </c>
      <c r="C19" s="1">
        <v>2</v>
      </c>
      <c r="D19" s="3">
        <f>'夹角计算'!E20</f>
        <v>27.506</v>
      </c>
      <c r="E19" s="3">
        <f>'夹角计算'!F20</f>
        <v>12.634</v>
      </c>
      <c r="F19" s="9">
        <f>'夹角计算'!G19:G20</f>
        <v>0</v>
      </c>
      <c r="G19" s="1">
        <f>'镇墩转弯处水头'!D19</f>
        <v>447.2379708767776</v>
      </c>
      <c r="H19" s="1">
        <f t="shared" si="0"/>
        <v>446.7575193944059</v>
      </c>
      <c r="I19" s="1">
        <f t="shared" si="1"/>
        <v>447.33592369971876</v>
      </c>
      <c r="J19" s="1">
        <f t="shared" si="2"/>
        <v>447.6751973614564</v>
      </c>
      <c r="K19" s="13"/>
    </row>
    <row r="20" spans="1:11" ht="14.25">
      <c r="A20" s="3">
        <v>16</v>
      </c>
      <c r="B20" s="1">
        <v>30.862</v>
      </c>
      <c r="C20" s="1">
        <v>2</v>
      </c>
      <c r="D20" s="3">
        <f>'夹角计算'!E21</f>
        <v>12.634</v>
      </c>
      <c r="E20" s="3">
        <f>'夹角计算'!F21</f>
        <v>29.311</v>
      </c>
      <c r="F20" s="9">
        <f>'夹角计算'!G20:G21</f>
        <v>0</v>
      </c>
      <c r="G20" s="1">
        <f>'镇墩转弯处水头'!D20</f>
        <v>469.7133502732329</v>
      </c>
      <c r="H20" s="1">
        <f t="shared" si="0"/>
        <v>469.6153974502917</v>
      </c>
      <c r="I20" s="1">
        <f t="shared" si="1"/>
        <v>470.26245491224444</v>
      </c>
      <c r="J20" s="1">
        <f t="shared" si="2"/>
        <v>470.69199768982054</v>
      </c>
      <c r="K20" s="13"/>
    </row>
    <row r="21" spans="1:11" ht="14.25">
      <c r="A21" s="3">
        <v>17</v>
      </c>
      <c r="B21" s="1">
        <v>82.241</v>
      </c>
      <c r="C21" s="1">
        <v>2</v>
      </c>
      <c r="D21" s="3">
        <f>'夹角计算'!E22</f>
        <v>29.311</v>
      </c>
      <c r="E21" s="3">
        <f>'夹角计算'!F22</f>
        <v>35.189</v>
      </c>
      <c r="F21" s="9">
        <f>'夹角计算'!G21:G22</f>
        <v>0</v>
      </c>
      <c r="G21" s="1">
        <f>'镇墩转弯处水头'!D21</f>
        <v>521.265132140946</v>
      </c>
      <c r="H21" s="1">
        <f t="shared" si="0"/>
        <v>520.7160275019344</v>
      </c>
      <c r="I21" s="1">
        <f t="shared" si="1"/>
        <v>522.0769401734411</v>
      </c>
      <c r="J21" s="1">
        <f t="shared" si="2"/>
        <v>522.4171740219799</v>
      </c>
      <c r="K21" s="13"/>
    </row>
    <row r="22" spans="1:11" ht="14.25">
      <c r="A22" s="3">
        <v>18</v>
      </c>
      <c r="B22" s="1">
        <v>104.699</v>
      </c>
      <c r="C22" s="1">
        <v>2</v>
      </c>
      <c r="D22" s="3">
        <f>'夹角计算'!E23</f>
        <v>35.189</v>
      </c>
      <c r="E22" s="3">
        <f>'夹角计算'!F23</f>
        <v>9.463000000000001</v>
      </c>
      <c r="F22" s="9">
        <f>'夹角计算'!G22:G23</f>
        <v>0</v>
      </c>
      <c r="G22" s="1">
        <f>'镇墩转弯处水头'!D22</f>
        <v>601.8919394022929</v>
      </c>
      <c r="H22" s="1">
        <f t="shared" si="0"/>
        <v>601.0801313697978</v>
      </c>
      <c r="I22" s="1">
        <f t="shared" si="1"/>
        <v>601.9466911377699</v>
      </c>
      <c r="J22" s="1">
        <f t="shared" si="2"/>
        <v>602.2205955333241</v>
      </c>
      <c r="K22" s="13"/>
    </row>
    <row r="23" spans="1:11" ht="14.25">
      <c r="A23" s="3">
        <v>19</v>
      </c>
      <c r="B23" s="1">
        <v>96.121</v>
      </c>
      <c r="C23" s="1">
        <v>2</v>
      </c>
      <c r="D23" s="3">
        <f>'夹角计算'!E24</f>
        <v>9.463000000000001</v>
      </c>
      <c r="E23" s="3">
        <f>'夹角计算'!F24</f>
        <v>5.473000000000001</v>
      </c>
      <c r="F23" s="9">
        <f>'夹角计算'!G23:G24</f>
        <v>0</v>
      </c>
      <c r="G23" s="1">
        <f>'镇墩转弯处水头'!D23</f>
        <v>623.2025972368613</v>
      </c>
      <c r="H23" s="1">
        <f t="shared" si="0"/>
        <v>623.1478455013843</v>
      </c>
      <c r="I23" s="1">
        <f t="shared" si="1"/>
        <v>623.2208554204509</v>
      </c>
      <c r="J23" s="1">
        <f t="shared" si="2"/>
        <v>623.3932541720983</v>
      </c>
      <c r="K23" s="13"/>
    </row>
    <row r="24" spans="1:11" ht="14.25">
      <c r="A24" s="3">
        <v>20</v>
      </c>
      <c r="B24" s="1">
        <v>97.53</v>
      </c>
      <c r="C24" s="1">
        <v>2</v>
      </c>
      <c r="D24" s="3">
        <f>'夹角计算'!E25</f>
        <v>5.473000000000001</v>
      </c>
      <c r="E24" s="3">
        <f>'夹角计算'!F25</f>
        <v>13.322000000000001</v>
      </c>
      <c r="F24" s="9">
        <f>'夹角计算'!G24:G25</f>
        <v>0</v>
      </c>
      <c r="G24" s="1">
        <f>'镇墩转弯处水头'!D24</f>
        <v>637.764403071235</v>
      </c>
      <c r="H24" s="1">
        <f t="shared" si="0"/>
        <v>637.7461448876454</v>
      </c>
      <c r="I24" s="1">
        <f t="shared" si="1"/>
        <v>637.8734178329225</v>
      </c>
      <c r="J24" s="1">
        <f t="shared" si="2"/>
        <v>638.2250204519463</v>
      </c>
      <c r="K24" s="13"/>
    </row>
    <row r="25" spans="1:11" ht="14.25">
      <c r="A25" s="3">
        <v>21</v>
      </c>
      <c r="B25" s="1">
        <v>109.297</v>
      </c>
      <c r="C25" s="1">
        <v>2</v>
      </c>
      <c r="D25" s="3">
        <f>'夹角计算'!E26</f>
        <v>13.322000000000001</v>
      </c>
      <c r="E25" s="3">
        <f>'夹角计算'!F26</f>
        <v>24.51</v>
      </c>
      <c r="F25" s="9">
        <f>'夹角计算'!G25:G26</f>
        <v>0</v>
      </c>
      <c r="G25" s="1">
        <f>'镇墩转弯处水头'!D25</f>
        <v>669.5133881204495</v>
      </c>
      <c r="H25" s="1">
        <f t="shared" si="0"/>
        <v>669.404373358762</v>
      </c>
      <c r="I25" s="1">
        <f t="shared" si="1"/>
        <v>669.8912838086732</v>
      </c>
      <c r="J25" s="1">
        <f t="shared" si="2"/>
        <v>670.3426975615002</v>
      </c>
      <c r="K25" s="13"/>
    </row>
    <row r="26" spans="1:11" ht="14.25">
      <c r="A26" s="3">
        <v>22</v>
      </c>
      <c r="B26" s="1">
        <v>57.642</v>
      </c>
      <c r="C26" s="1">
        <v>2</v>
      </c>
      <c r="D26" s="3">
        <f>'夹角计算'!E27</f>
        <v>24.51</v>
      </c>
      <c r="E26" s="3">
        <f>'夹角计算'!F27</f>
        <v>25.807000000000002</v>
      </c>
      <c r="F26" s="9">
        <f>'夹角计算'!G26:G27</f>
        <v>0</v>
      </c>
      <c r="G26" s="1">
        <f>'镇墩转弯处水头'!D26</f>
        <v>700.1530339716876</v>
      </c>
      <c r="H26" s="1">
        <f t="shared" si="0"/>
        <v>699.7751382834639</v>
      </c>
      <c r="I26" s="1">
        <f t="shared" si="1"/>
        <v>700.5736254386886</v>
      </c>
      <c r="J26" s="1">
        <f t="shared" si="2"/>
        <v>701.0233049932132</v>
      </c>
      <c r="K26" s="13"/>
    </row>
    <row r="27" spans="1:11" ht="14.25">
      <c r="A27" s="3">
        <v>23</v>
      </c>
      <c r="B27" s="1">
        <v>65.761</v>
      </c>
      <c r="C27" s="1">
        <v>2</v>
      </c>
      <c r="D27" s="3">
        <f>'夹角计算'!E28</f>
        <v>25.807000000000002</v>
      </c>
      <c r="E27" s="3">
        <f>'夹角计算'!F28</f>
        <v>25.807000000000002</v>
      </c>
      <c r="F27" s="9">
        <f>'夹角计算'!G27:G28</f>
        <v>0</v>
      </c>
      <c r="G27" s="1">
        <f>'镇墩转弯处水头'!D27</f>
        <v>736.3416518672266</v>
      </c>
      <c r="H27" s="1">
        <f t="shared" si="0"/>
        <v>735.9210604002255</v>
      </c>
      <c r="I27" s="1">
        <f t="shared" si="1"/>
        <v>736.7622433342276</v>
      </c>
      <c r="J27" s="1">
        <f t="shared" si="2"/>
        <v>737.2119228887522</v>
      </c>
      <c r="K27" s="13"/>
    </row>
    <row r="28" spans="1:11" ht="14.25">
      <c r="A28" s="3">
        <v>24</v>
      </c>
      <c r="B28" s="1">
        <v>96.548</v>
      </c>
      <c r="C28" s="1">
        <v>2</v>
      </c>
      <c r="D28" s="3">
        <f>'夹角计算'!E29</f>
        <v>25.807000000000002</v>
      </c>
      <c r="E28" s="3">
        <f>'夹角计算'!F29</f>
        <v>26.844</v>
      </c>
      <c r="F28" s="9">
        <f>'夹角计算'!G28:G29</f>
        <v>0</v>
      </c>
      <c r="G28" s="1">
        <f>'镇墩转弯处水头'!D28</f>
        <v>788.9728712318994</v>
      </c>
      <c r="H28" s="1">
        <f t="shared" si="0"/>
        <v>788.5522797648983</v>
      </c>
      <c r="I28" s="1">
        <f t="shared" si="1"/>
        <v>789.4294599069199</v>
      </c>
      <c r="J28" s="1">
        <f t="shared" si="2"/>
        <v>789.8755730898499</v>
      </c>
      <c r="K28" s="13"/>
    </row>
    <row r="29" spans="1:11" ht="14.25">
      <c r="A29" s="3">
        <v>25</v>
      </c>
      <c r="B29" s="1">
        <v>83.945</v>
      </c>
      <c r="C29" s="1">
        <v>2</v>
      </c>
      <c r="D29" s="3">
        <f>'夹角计算'!E30</f>
        <v>26.844</v>
      </c>
      <c r="E29" s="3">
        <f>'夹角计算'!F30</f>
        <v>22.153000000000002</v>
      </c>
      <c r="F29" s="9">
        <f>'夹角计算'!G29:G30</f>
        <v>0</v>
      </c>
      <c r="G29" s="1">
        <f>'镇墩转弯处水头'!D29</f>
        <v>836.8096972384828</v>
      </c>
      <c r="H29" s="1">
        <f t="shared" si="0"/>
        <v>836.3531085634623</v>
      </c>
      <c r="I29" s="1">
        <f t="shared" si="1"/>
        <v>837.1164236920656</v>
      </c>
      <c r="J29" s="1">
        <f t="shared" si="2"/>
        <v>837.5634964676885</v>
      </c>
      <c r="K29" s="13"/>
    </row>
    <row r="30" spans="1:11" ht="14.25">
      <c r="A30" s="3">
        <v>26</v>
      </c>
      <c r="B30" s="1">
        <v>85.854</v>
      </c>
      <c r="C30" s="1">
        <v>2</v>
      </c>
      <c r="D30" s="3">
        <f>'夹角计算'!E31</f>
        <v>22.153000000000002</v>
      </c>
      <c r="E30" s="3">
        <f>'夹角计算'!F31</f>
        <v>18.296</v>
      </c>
      <c r="F30" s="9">
        <f>'夹角计算'!G30:G31</f>
        <v>0</v>
      </c>
      <c r="G30" s="1">
        <f>'镇墩转弯处水头'!D30</f>
        <v>877.0149189382023</v>
      </c>
      <c r="H30" s="1">
        <f t="shared" si="0"/>
        <v>876.7081924846195</v>
      </c>
      <c r="I30" s="1">
        <f t="shared" si="1"/>
        <v>877.2222982914276</v>
      </c>
      <c r="J30" s="1">
        <f t="shared" si="2"/>
        <v>877.6424638741528</v>
      </c>
      <c r="K30" s="13"/>
    </row>
    <row r="31" spans="1:10" ht="14.25">
      <c r="A31" s="3">
        <v>27</v>
      </c>
      <c r="B31" s="1">
        <v>51.634</v>
      </c>
      <c r="C31" s="1">
        <v>2</v>
      </c>
      <c r="D31" s="3">
        <f>'夹角计算'!E32</f>
        <v>18.296</v>
      </c>
      <c r="E31" s="3">
        <f>'夹角计算'!F32</f>
        <v>29.942999999999998</v>
      </c>
      <c r="F31" s="9">
        <f>'夹角计算'!G32:G32</f>
        <v>26.44</v>
      </c>
      <c r="G31" s="1">
        <f>'镇墩转弯处水头'!D31</f>
        <v>915.5756381974736</v>
      </c>
      <c r="H31" s="1">
        <f t="shared" si="0"/>
        <v>915.3682588442483</v>
      </c>
      <c r="I31" s="1">
        <f t="shared" si="1"/>
        <v>916.150053416156</v>
      </c>
      <c r="J31" s="1">
        <f t="shared" si="2"/>
        <v>916.5734554091912</v>
      </c>
    </row>
    <row r="32" spans="1:10" ht="14.25">
      <c r="A32" s="3">
        <v>28</v>
      </c>
      <c r="B32" s="1">
        <v>60.904</v>
      </c>
      <c r="C32" s="1">
        <v>2</v>
      </c>
      <c r="D32" s="3">
        <f>'夹角计算'!E33</f>
        <v>29.942999999999998</v>
      </c>
      <c r="E32" s="3">
        <f>'夹角计算'!F33</f>
        <v>0</v>
      </c>
      <c r="F32" s="9">
        <v>0</v>
      </c>
      <c r="G32" s="1">
        <f>'镇墩转弯处水头'!D32</f>
        <v>954.9870000000001</v>
      </c>
      <c r="H32" s="1">
        <f t="shared" si="0"/>
        <v>954.4125847813177</v>
      </c>
      <c r="I32" s="1">
        <f t="shared" si="1"/>
        <v>954.9870000000001</v>
      </c>
      <c r="J32" s="1">
        <f t="shared" si="2"/>
        <v>954.9870000000001</v>
      </c>
    </row>
    <row r="33" spans="1:10" ht="14.25">
      <c r="A33" t="s">
        <v>187</v>
      </c>
      <c r="B33" s="1">
        <v>60.904</v>
      </c>
      <c r="C33" s="1">
        <v>2</v>
      </c>
      <c r="D33" s="3">
        <f>'夹角计算'!E34</f>
        <v>29.943</v>
      </c>
      <c r="E33" s="3">
        <f>'夹角计算'!F34</f>
        <v>29.943</v>
      </c>
      <c r="F33" s="9">
        <v>55</v>
      </c>
      <c r="G33" s="1">
        <f>'镇墩转弯处水头'!D33</f>
        <v>954.9870000000001</v>
      </c>
      <c r="H33" s="1">
        <f t="shared" si="0"/>
        <v>954.4125847813177</v>
      </c>
      <c r="I33" s="1">
        <f t="shared" si="1"/>
        <v>955.5614152186824</v>
      </c>
      <c r="J33" s="1">
        <f t="shared" si="2"/>
        <v>955.9848172117177</v>
      </c>
    </row>
    <row r="34" spans="1:10" ht="14.25">
      <c r="A34" s="3">
        <v>29</v>
      </c>
      <c r="B34" s="1">
        <v>12</v>
      </c>
      <c r="C34" s="1">
        <v>2</v>
      </c>
      <c r="D34" s="3">
        <f>'夹角计算'!E35</f>
        <v>29.943</v>
      </c>
      <c r="E34" s="3">
        <f>'夹角计算'!F35</f>
        <v>0</v>
      </c>
      <c r="F34" s="9">
        <v>55</v>
      </c>
      <c r="G34" s="1">
        <f>'镇墩转弯处水头'!D34</f>
        <v>955.2913861907928</v>
      </c>
      <c r="H34" s="1">
        <f t="shared" si="0"/>
        <v>954.7169709721104</v>
      </c>
      <c r="I34" s="1">
        <f t="shared" si="1"/>
        <v>955.2913861907928</v>
      </c>
      <c r="J34" s="1">
        <f t="shared" si="2"/>
        <v>955.2913861907928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0">
      <selection activeCell="I34" sqref="I34"/>
    </sheetView>
  </sheetViews>
  <sheetFormatPr defaultColWidth="9.00390625" defaultRowHeight="14.25"/>
  <sheetData>
    <row r="1" spans="1:9" ht="15.75">
      <c r="A1" s="52" t="s">
        <v>47</v>
      </c>
      <c r="B1" s="52"/>
      <c r="C1" s="52"/>
      <c r="D1" s="52"/>
      <c r="E1" s="52"/>
      <c r="F1" s="52"/>
      <c r="G1" s="52"/>
      <c r="H1" s="52"/>
      <c r="I1" s="52"/>
    </row>
    <row r="2" spans="1:9" ht="18.75">
      <c r="A2" s="5" t="s">
        <v>1</v>
      </c>
      <c r="B2" s="6" t="s">
        <v>38</v>
      </c>
      <c r="C2" s="6" t="s">
        <v>39</v>
      </c>
      <c r="D2" s="6" t="s">
        <v>46</v>
      </c>
      <c r="E2" s="6" t="s">
        <v>45</v>
      </c>
      <c r="F2" s="6" t="s">
        <v>48</v>
      </c>
      <c r="G2" s="6" t="s">
        <v>49</v>
      </c>
      <c r="H2" s="6" t="s">
        <v>50</v>
      </c>
      <c r="I2" s="6" t="s">
        <v>51</v>
      </c>
    </row>
    <row r="3" spans="1:10" ht="14.25">
      <c r="A3" s="5">
        <v>0</v>
      </c>
      <c r="B3" s="7">
        <f>'各镇墩钢管上下游转弯处及伸缩处水头计算'!B3</f>
        <v>0</v>
      </c>
      <c r="C3" s="7">
        <f>'各镇墩钢管上下游转弯处及伸缩处水头计算'!C3</f>
        <v>36.242</v>
      </c>
      <c r="D3" s="7">
        <f>'夹角计算'!E4</f>
        <v>0</v>
      </c>
      <c r="E3" s="7">
        <f>'夹角计算'!F4</f>
        <v>4.861</v>
      </c>
      <c r="F3" s="7">
        <v>0.89</v>
      </c>
      <c r="G3" s="7">
        <v>0.89</v>
      </c>
      <c r="H3" s="7">
        <f>F3*B3*SIN(D3*3.14/180)</f>
        <v>0</v>
      </c>
      <c r="I3" s="7">
        <f>G3*C3*SIN(E3*3.14/180)</f>
        <v>2.7318970454484424</v>
      </c>
      <c r="J3" s="13"/>
    </row>
    <row r="4" spans="1:10" ht="14.25">
      <c r="A4" s="5">
        <v>1</v>
      </c>
      <c r="B4" s="7">
        <f>'各镇墩钢管上下游转弯处及伸缩处水头计算'!B4</f>
        <v>36.242</v>
      </c>
      <c r="C4" s="7">
        <f>'各镇墩钢管上下游转弯处及伸缩处水头计算'!C4</f>
        <v>38.12</v>
      </c>
      <c r="D4" s="7">
        <f>'夹角计算'!E5</f>
        <v>4.861</v>
      </c>
      <c r="E4" s="7">
        <f>'夹角计算'!F5</f>
        <v>7.461</v>
      </c>
      <c r="F4" s="7">
        <v>0.89</v>
      </c>
      <c r="G4" s="7">
        <v>0.89</v>
      </c>
      <c r="H4" s="7">
        <f aca="true" t="shared" si="0" ref="H4:H34">F4*B4*SIN(D4*3.14/180)</f>
        <v>2.7318970454484424</v>
      </c>
      <c r="I4" s="7">
        <f aca="true" t="shared" si="1" ref="I4:I34">G4*C4*SIN(E4*3.14/180)</f>
        <v>4.403218578207072</v>
      </c>
      <c r="J4" s="13"/>
    </row>
    <row r="5" spans="1:10" ht="15.75">
      <c r="A5" s="6" t="s">
        <v>158</v>
      </c>
      <c r="B5" s="7">
        <f>'各镇墩钢管上下游转弯处及伸缩处水头计算'!B5</f>
        <v>38.12</v>
      </c>
      <c r="C5" s="7">
        <f>'各镇墩钢管上下游转弯处及伸缩处水头计算'!C5</f>
        <v>2</v>
      </c>
      <c r="D5" s="7">
        <f>'夹角计算'!E6</f>
        <v>7.461</v>
      </c>
      <c r="E5" s="7">
        <f>'夹角计算'!F6</f>
        <v>11.414</v>
      </c>
      <c r="F5" s="7">
        <v>0.89</v>
      </c>
      <c r="G5" s="7">
        <v>0.89</v>
      </c>
      <c r="H5" s="7">
        <f t="shared" si="0"/>
        <v>4.403218578207072</v>
      </c>
      <c r="I5" s="7">
        <f t="shared" si="1"/>
        <v>0.3520801984539817</v>
      </c>
      <c r="J5" s="13"/>
    </row>
    <row r="6" spans="1:10" ht="14.25">
      <c r="A6" s="5">
        <v>2</v>
      </c>
      <c r="B6" s="7">
        <f>'各镇墩钢管上下游转弯处及伸缩处水头计算'!B6</f>
        <v>37.2295</v>
      </c>
      <c r="C6" s="7">
        <f>'各镇墩钢管上下游转弯处及伸缩处水头计算'!C6</f>
        <v>2</v>
      </c>
      <c r="D6" s="7">
        <f>'夹角计算'!E7</f>
        <v>11.414</v>
      </c>
      <c r="E6" s="7">
        <f>'夹角计算'!F7</f>
        <v>12.395</v>
      </c>
      <c r="F6" s="7">
        <v>0.89</v>
      </c>
      <c r="G6" s="7">
        <v>1.19</v>
      </c>
      <c r="H6" s="7">
        <f t="shared" si="0"/>
        <v>6.553884874171256</v>
      </c>
      <c r="I6" s="7">
        <f t="shared" si="1"/>
        <v>0.5106122894699447</v>
      </c>
      <c r="J6" s="13"/>
    </row>
    <row r="7" spans="1:10" ht="14.25">
      <c r="A7" s="5">
        <v>3</v>
      </c>
      <c r="B7" s="7">
        <f>'各镇墩钢管上下游转弯处及伸缩处水头计算'!B7</f>
        <v>41.378</v>
      </c>
      <c r="C7" s="7">
        <f>'各镇墩钢管上下游转弯处及伸缩处水头计算'!C7</f>
        <v>35.1325</v>
      </c>
      <c r="D7" s="7">
        <f>'夹角计算'!E8</f>
        <v>12.395</v>
      </c>
      <c r="E7" s="7">
        <f>'夹角计算'!F8</f>
        <v>4.368</v>
      </c>
      <c r="F7" s="7">
        <v>1.19</v>
      </c>
      <c r="G7" s="7">
        <v>1.19</v>
      </c>
      <c r="H7" s="7">
        <f t="shared" si="0"/>
        <v>10.564057656843687</v>
      </c>
      <c r="I7" s="7">
        <f t="shared" si="1"/>
        <v>3.1825515935948903</v>
      </c>
      <c r="J7" s="13"/>
    </row>
    <row r="8" spans="1:10" ht="14.25">
      <c r="A8" s="5">
        <v>4</v>
      </c>
      <c r="B8" s="7">
        <f>'各镇墩钢管上下游转弯处及伸缩处水头计算'!B8</f>
        <v>35.1325</v>
      </c>
      <c r="C8" s="7">
        <f>'各镇墩钢管上下游转弯处及伸缩处水头计算'!C8</f>
        <v>38.17</v>
      </c>
      <c r="D8" s="7">
        <f>'夹角计算'!E9</f>
        <v>4.368</v>
      </c>
      <c r="E8" s="7">
        <f>'夹角计算'!F9</f>
        <v>4.368</v>
      </c>
      <c r="F8" s="7">
        <v>1.19</v>
      </c>
      <c r="G8" s="7">
        <v>1.19</v>
      </c>
      <c r="H8" s="7">
        <f t="shared" si="0"/>
        <v>3.1825515935948903</v>
      </c>
      <c r="I8" s="7">
        <f t="shared" si="1"/>
        <v>3.4577099360283774</v>
      </c>
      <c r="J8" s="13"/>
    </row>
    <row r="9" spans="1:10" ht="14.25">
      <c r="A9" s="5">
        <v>5</v>
      </c>
      <c r="B9" s="7">
        <f>'各镇墩钢管上下游转弯处及伸缩处水头计算'!B9</f>
        <v>38.17</v>
      </c>
      <c r="C9" s="7">
        <f>'各镇墩钢管上下游转弯处及伸缩处水头计算'!C9</f>
        <v>2</v>
      </c>
      <c r="D9" s="7">
        <f>'夹角计算'!E10</f>
        <v>4.368</v>
      </c>
      <c r="E9" s="7">
        <f>'夹角计算'!F10</f>
        <v>11.760000000000002</v>
      </c>
      <c r="F9" s="7">
        <v>1.19</v>
      </c>
      <c r="G9" s="7">
        <v>1.19</v>
      </c>
      <c r="H9" s="7">
        <f t="shared" si="0"/>
        <v>3.4577099360283774</v>
      </c>
      <c r="I9" s="7">
        <f t="shared" si="1"/>
        <v>0.4848315929155186</v>
      </c>
      <c r="J9" s="13"/>
    </row>
    <row r="10" spans="1:10" ht="14.25">
      <c r="A10" s="5">
        <v>6</v>
      </c>
      <c r="B10" s="7">
        <f>'各镇墩钢管上下游转弯处及伸缩处水头计算'!B10</f>
        <v>84.591</v>
      </c>
      <c r="C10" s="7">
        <f>'各镇墩钢管上下游转弯处及伸缩处水头计算'!C10</f>
        <v>54.727</v>
      </c>
      <c r="D10" s="7">
        <f>'夹角计算'!E11</f>
        <v>11.760000000000002</v>
      </c>
      <c r="E10" s="7">
        <f>'夹角计算'!F11</f>
        <v>5.9380000000000015</v>
      </c>
      <c r="F10" s="7">
        <v>1.19</v>
      </c>
      <c r="G10" s="7">
        <v>1.19</v>
      </c>
      <c r="H10" s="7">
        <f t="shared" si="0"/>
        <v>20.506194638158316</v>
      </c>
      <c r="I10" s="7">
        <f t="shared" si="1"/>
        <v>6.733936352393468</v>
      </c>
      <c r="J10" s="13"/>
    </row>
    <row r="11" spans="1:10" ht="14.25">
      <c r="A11" s="5">
        <v>7</v>
      </c>
      <c r="B11" s="7">
        <f>'各镇墩钢管上下游转弯处及伸缩处水头计算'!B11</f>
        <v>54.727</v>
      </c>
      <c r="C11" s="7">
        <f>'各镇墩钢管上下游转弯处及伸缩处水头计算'!C11</f>
        <v>54.7325</v>
      </c>
      <c r="D11" s="7">
        <f>'夹角计算'!E12</f>
        <v>5.9380000000000015</v>
      </c>
      <c r="E11" s="7">
        <f>'夹角计算'!F12</f>
        <v>5.9380000000000015</v>
      </c>
      <c r="F11" s="7">
        <v>1.19</v>
      </c>
      <c r="G11" s="7">
        <v>1.19</v>
      </c>
      <c r="H11" s="7">
        <f t="shared" si="0"/>
        <v>6.733936352393468</v>
      </c>
      <c r="I11" s="7">
        <f t="shared" si="1"/>
        <v>6.734613105183465</v>
      </c>
      <c r="J11" s="13"/>
    </row>
    <row r="12" spans="1:10" ht="14.25">
      <c r="A12" s="5">
        <v>8</v>
      </c>
      <c r="B12" s="7">
        <f>'各镇墩钢管上下游转弯处及伸缩处水头计算'!B12</f>
        <v>54.7325</v>
      </c>
      <c r="C12" s="7">
        <f>'各镇墩钢管上下游转弯处及伸缩处水头计算'!C12</f>
        <v>43.3025</v>
      </c>
      <c r="D12" s="7">
        <f>'夹角计算'!E13</f>
        <v>5.9380000000000015</v>
      </c>
      <c r="E12" s="7">
        <f>'夹角计算'!F13</f>
        <v>5.9380000000000015</v>
      </c>
      <c r="F12" s="7">
        <v>1.19</v>
      </c>
      <c r="G12" s="7">
        <v>1.19</v>
      </c>
      <c r="H12" s="7">
        <f t="shared" si="0"/>
        <v>6.734613105183465</v>
      </c>
      <c r="I12" s="7">
        <f t="shared" si="1"/>
        <v>5.328197761607948</v>
      </c>
      <c r="J12" s="13"/>
    </row>
    <row r="13" spans="1:10" ht="14.25">
      <c r="A13" s="5">
        <v>9</v>
      </c>
      <c r="B13" s="7">
        <f>'各镇墩钢管上下游转弯处及伸缩处水头计算'!B13</f>
        <v>43.3025</v>
      </c>
      <c r="C13" s="7">
        <f>'各镇墩钢管上下游转弯处及伸缩处水头计算'!C13</f>
        <v>2</v>
      </c>
      <c r="D13" s="7">
        <f>'夹角计算'!E14</f>
        <v>5.9380000000000015</v>
      </c>
      <c r="E13" s="7">
        <f>'夹角计算'!F14</f>
        <v>13.747000000000002</v>
      </c>
      <c r="F13" s="7">
        <v>1.19</v>
      </c>
      <c r="G13" s="7">
        <v>1.49</v>
      </c>
      <c r="H13" s="7">
        <f t="shared" si="0"/>
        <v>5.328197761607948</v>
      </c>
      <c r="I13" s="7">
        <f t="shared" si="1"/>
        <v>0.7078003044153048</v>
      </c>
      <c r="J13" s="13"/>
    </row>
    <row r="14" spans="1:10" ht="14.25">
      <c r="A14" s="5">
        <v>10</v>
      </c>
      <c r="B14" s="7">
        <f>'各镇墩钢管上下游转弯处及伸缩处水头计算'!B14</f>
        <v>101.999</v>
      </c>
      <c r="C14" s="7">
        <f>'各镇墩钢管上下游转弯处及伸缩处水头计算'!C14</f>
        <v>2</v>
      </c>
      <c r="D14" s="7">
        <f>'夹角计算'!E15</f>
        <v>13.747000000000002</v>
      </c>
      <c r="E14" s="7">
        <f>'夹角计算'!F15</f>
        <v>32.947</v>
      </c>
      <c r="F14" s="7">
        <v>1.49</v>
      </c>
      <c r="G14" s="7">
        <v>1.49</v>
      </c>
      <c r="H14" s="7">
        <f t="shared" si="0"/>
        <v>36.09746162502834</v>
      </c>
      <c r="I14" s="7">
        <f t="shared" si="1"/>
        <v>1.6199826956092245</v>
      </c>
      <c r="J14" s="13"/>
    </row>
    <row r="15" spans="1:10" ht="14.25">
      <c r="A15" s="5">
        <v>11</v>
      </c>
      <c r="B15" s="7">
        <f>'各镇墩钢管上下游转弯处及伸缩处水头计算'!B15</f>
        <v>74.987</v>
      </c>
      <c r="C15" s="7">
        <f>'各镇墩钢管上下游转弯处及伸缩处水头计算'!C15</f>
        <v>2</v>
      </c>
      <c r="D15" s="7">
        <f>'夹角计算'!E16</f>
        <v>32.947</v>
      </c>
      <c r="E15" s="7">
        <f>'夹角计算'!F16</f>
        <v>35.249</v>
      </c>
      <c r="F15" s="7">
        <v>1.49</v>
      </c>
      <c r="G15" s="7">
        <v>1.79</v>
      </c>
      <c r="H15" s="7">
        <f t="shared" si="0"/>
        <v>60.73882119782445</v>
      </c>
      <c r="I15" s="7">
        <f t="shared" si="1"/>
        <v>2.0652168201391095</v>
      </c>
      <c r="J15" s="13"/>
    </row>
    <row r="16" spans="1:10" ht="14.25">
      <c r="A16" s="5">
        <v>12</v>
      </c>
      <c r="B16" s="7">
        <f>'各镇墩钢管上下游转弯处及伸缩处水头计算'!B16</f>
        <v>75.274</v>
      </c>
      <c r="C16" s="7">
        <f>'各镇墩钢管上下游转弯处及伸缩处水头计算'!C16</f>
        <v>2</v>
      </c>
      <c r="D16" s="7">
        <f>'夹角计算'!E17</f>
        <v>35.249</v>
      </c>
      <c r="E16" s="7">
        <f>'夹角计算'!F17</f>
        <v>36.939</v>
      </c>
      <c r="F16" s="7">
        <v>1.79</v>
      </c>
      <c r="G16" s="7">
        <v>2.09</v>
      </c>
      <c r="H16" s="7">
        <f t="shared" si="0"/>
        <v>77.72856545957566</v>
      </c>
      <c r="I16" s="7">
        <f t="shared" si="1"/>
        <v>2.510939157096299</v>
      </c>
      <c r="J16" s="13"/>
    </row>
    <row r="17" spans="1:10" ht="14.25">
      <c r="A17" s="5">
        <v>13</v>
      </c>
      <c r="B17" s="7">
        <f>'各镇墩钢管上下游转弯处及伸缩处水头计算'!B17</f>
        <v>51.181</v>
      </c>
      <c r="C17" s="7">
        <f>'各镇墩钢管上下游转弯处及伸缩处水头计算'!C17</f>
        <v>2</v>
      </c>
      <c r="D17" s="7">
        <f>'夹角计算'!E18</f>
        <v>36.939</v>
      </c>
      <c r="E17" s="7">
        <f>'夹角计算'!F18</f>
        <v>35.259</v>
      </c>
      <c r="F17" s="7">
        <v>2.09</v>
      </c>
      <c r="G17" s="7">
        <v>2.09</v>
      </c>
      <c r="H17" s="7">
        <f t="shared" si="0"/>
        <v>64.25618849967285</v>
      </c>
      <c r="I17" s="7">
        <f t="shared" si="1"/>
        <v>2.4119381229338135</v>
      </c>
      <c r="J17" s="13"/>
    </row>
    <row r="18" spans="1:10" ht="14.25">
      <c r="A18" s="5">
        <v>14</v>
      </c>
      <c r="B18" s="7">
        <f>'各镇墩钢管上下游转弯处及伸缩处水头计算'!B18</f>
        <v>69.38</v>
      </c>
      <c r="C18" s="7">
        <f>'各镇墩钢管上下游转弯处及伸缩处水头计算'!C18</f>
        <v>2</v>
      </c>
      <c r="D18" s="7">
        <f>'夹角计算'!E19</f>
        <v>35.259</v>
      </c>
      <c r="E18" s="7">
        <f>'夹角计算'!F19</f>
        <v>27.506</v>
      </c>
      <c r="F18" s="7">
        <v>2.4</v>
      </c>
      <c r="G18" s="7">
        <v>2.4</v>
      </c>
      <c r="H18" s="7">
        <f t="shared" si="0"/>
        <v>96.08053605884093</v>
      </c>
      <c r="I18" s="7">
        <f t="shared" si="1"/>
        <v>2.2158029757429305</v>
      </c>
      <c r="J18" s="13"/>
    </row>
    <row r="19" spans="1:10" ht="14.25">
      <c r="A19" s="5">
        <v>15</v>
      </c>
      <c r="B19" s="7">
        <f>'各镇墩钢管上下游转弯处及伸缩处水头计算'!B19</f>
        <v>132.814</v>
      </c>
      <c r="C19" s="7">
        <f>'各镇墩钢管上下游转弯处及伸缩处水头计算'!C19</f>
        <v>2</v>
      </c>
      <c r="D19" s="7">
        <f>'夹角计算'!E20</f>
        <v>27.506</v>
      </c>
      <c r="E19" s="7">
        <f>'夹角计算'!F20</f>
        <v>12.634</v>
      </c>
      <c r="F19" s="7">
        <v>2.4</v>
      </c>
      <c r="G19" s="7">
        <v>2.4</v>
      </c>
      <c r="H19" s="7">
        <f t="shared" si="0"/>
        <v>147.14482821016077</v>
      </c>
      <c r="I19" s="7">
        <f t="shared" si="1"/>
        <v>1.0493435632292218</v>
      </c>
      <c r="J19" s="13"/>
    </row>
    <row r="20" spans="1:10" ht="14.25">
      <c r="A20" s="5">
        <v>16</v>
      </c>
      <c r="B20" s="7">
        <f>'各镇墩钢管上下游转弯处及伸缩处水头计算'!B20</f>
        <v>30.862</v>
      </c>
      <c r="C20" s="7">
        <f>'各镇墩钢管上下游转弯处及伸缩处水头计算'!C20</f>
        <v>2</v>
      </c>
      <c r="D20" s="7">
        <f>'夹角计算'!E21</f>
        <v>12.634</v>
      </c>
      <c r="E20" s="7">
        <f>'夹角计算'!F21</f>
        <v>29.311</v>
      </c>
      <c r="F20" s="7">
        <v>2.4</v>
      </c>
      <c r="G20" s="7">
        <v>2.7</v>
      </c>
      <c r="H20" s="7">
        <f t="shared" si="0"/>
        <v>16.192420524190123</v>
      </c>
      <c r="I20" s="7">
        <f t="shared" si="1"/>
        <v>2.642348024786623</v>
      </c>
      <c r="J20" s="13"/>
    </row>
    <row r="21" spans="1:10" ht="14.25">
      <c r="A21" s="5">
        <v>17</v>
      </c>
      <c r="B21" s="7">
        <f>'各镇墩钢管上下游转弯处及伸缩处水头计算'!B21</f>
        <v>82.241</v>
      </c>
      <c r="C21" s="7">
        <f>'各镇墩钢管上下游转弯处及伸缩处水头计算'!C21</f>
        <v>2</v>
      </c>
      <c r="D21" s="7">
        <f>'夹角计算'!E22</f>
        <v>29.311</v>
      </c>
      <c r="E21" s="7">
        <f>'夹角计算'!F22</f>
        <v>35.189</v>
      </c>
      <c r="F21" s="7">
        <v>2.7</v>
      </c>
      <c r="G21" s="7">
        <v>2.7</v>
      </c>
      <c r="H21" s="7">
        <f t="shared" si="0"/>
        <v>108.65467195323833</v>
      </c>
      <c r="I21" s="7">
        <f t="shared" si="1"/>
        <v>3.1105130787917474</v>
      </c>
      <c r="J21" s="13"/>
    </row>
    <row r="22" spans="1:10" ht="14.25">
      <c r="A22" s="5">
        <v>18</v>
      </c>
      <c r="B22" s="7">
        <f>'各镇墩钢管上下游转弯处及伸缩处水头计算'!B22</f>
        <v>104.699</v>
      </c>
      <c r="C22" s="7">
        <f>'各镇墩钢管上下游转弯处及伸缩处水头计算'!C22</f>
        <v>2</v>
      </c>
      <c r="D22" s="7">
        <f>'夹角计算'!E23</f>
        <v>35.189</v>
      </c>
      <c r="E22" s="7">
        <f>'夹角计算'!F23</f>
        <v>9.463000000000001</v>
      </c>
      <c r="F22" s="7">
        <v>2.7</v>
      </c>
      <c r="G22" s="7">
        <v>2.7</v>
      </c>
      <c r="H22" s="7">
        <f t="shared" si="0"/>
        <v>162.8338044182086</v>
      </c>
      <c r="I22" s="7">
        <f t="shared" si="1"/>
        <v>0.8873715537840765</v>
      </c>
      <c r="J22" s="13"/>
    </row>
    <row r="23" spans="1:10" ht="14.25">
      <c r="A23" s="5">
        <v>19</v>
      </c>
      <c r="B23" s="7">
        <f>'各镇墩钢管上下游转弯处及伸缩处水头计算'!B23</f>
        <v>96.121</v>
      </c>
      <c r="C23" s="7">
        <f>'各镇墩钢管上下游转弯处及伸缩处水头计算'!C23</f>
        <v>2</v>
      </c>
      <c r="D23" s="7">
        <f>'夹角计算'!E24</f>
        <v>9.463000000000001</v>
      </c>
      <c r="E23" s="7">
        <f>'夹角计算'!F24</f>
        <v>5.473000000000001</v>
      </c>
      <c r="F23" s="7">
        <v>2.7</v>
      </c>
      <c r="G23" s="7">
        <v>3.01</v>
      </c>
      <c r="H23" s="7">
        <f t="shared" si="0"/>
        <v>42.647520560639606</v>
      </c>
      <c r="I23" s="7">
        <f t="shared" si="1"/>
        <v>0.5738773750634906</v>
      </c>
      <c r="J23" s="13"/>
    </row>
    <row r="24" spans="1:10" ht="14.25">
      <c r="A24" s="5">
        <v>20</v>
      </c>
      <c r="B24" s="7">
        <f>'各镇墩钢管上下游转弯处及伸缩处水头计算'!B24</f>
        <v>97.53</v>
      </c>
      <c r="C24" s="7">
        <f>'各镇墩钢管上下游转弯处及伸缩处水头计算'!C24</f>
        <v>2</v>
      </c>
      <c r="D24" s="7">
        <f>'夹角计算'!E25</f>
        <v>5.473000000000001</v>
      </c>
      <c r="E24" s="7">
        <f>'夹角计算'!F25</f>
        <v>13.322000000000001</v>
      </c>
      <c r="F24" s="7">
        <v>3.01</v>
      </c>
      <c r="G24" s="7">
        <v>3.01</v>
      </c>
      <c r="H24" s="7">
        <f t="shared" si="0"/>
        <v>27.985130194971116</v>
      </c>
      <c r="I24" s="7">
        <f t="shared" si="1"/>
        <v>1.3864583159409385</v>
      </c>
      <c r="J24" s="13"/>
    </row>
    <row r="25" spans="1:10" ht="14.25">
      <c r="A25" s="5">
        <v>21</v>
      </c>
      <c r="B25" s="7">
        <f>'各镇墩钢管上下游转弯处及伸缩处水头计算'!B25</f>
        <v>109.297</v>
      </c>
      <c r="C25" s="7">
        <f>'各镇墩钢管上下游转弯处及伸缩处水头计算'!C25</f>
        <v>2</v>
      </c>
      <c r="D25" s="7">
        <f>'夹角计算'!E26</f>
        <v>13.322000000000001</v>
      </c>
      <c r="E25" s="7">
        <f>'夹角计算'!F26</f>
        <v>24.51</v>
      </c>
      <c r="F25" s="7">
        <v>3.01</v>
      </c>
      <c r="G25" s="7">
        <v>3.01</v>
      </c>
      <c r="H25" s="7">
        <f t="shared" si="0"/>
        <v>75.76786727869838</v>
      </c>
      <c r="I25" s="7">
        <f t="shared" si="1"/>
        <v>2.4962214175628743</v>
      </c>
      <c r="J25" s="13"/>
    </row>
    <row r="26" spans="1:10" ht="14.25">
      <c r="A26" s="5">
        <v>22</v>
      </c>
      <c r="B26" s="7">
        <f>'各镇墩钢管上下游转弯处及伸缩处水头计算'!B26</f>
        <v>57.642</v>
      </c>
      <c r="C26" s="7">
        <f>'各镇墩钢管上下游转弯处及伸缩处水头计算'!C26</f>
        <v>2</v>
      </c>
      <c r="D26" s="7">
        <f>'夹角计算'!E27</f>
        <v>24.51</v>
      </c>
      <c r="E26" s="7">
        <f>'夹角计算'!F27</f>
        <v>25.807000000000002</v>
      </c>
      <c r="F26" s="7">
        <v>3.01</v>
      </c>
      <c r="G26" s="7">
        <v>3.31</v>
      </c>
      <c r="H26" s="7">
        <f t="shared" si="0"/>
        <v>71.94359747557961</v>
      </c>
      <c r="I26" s="7">
        <f t="shared" si="1"/>
        <v>2.8805970812495056</v>
      </c>
      <c r="J26" s="13"/>
    </row>
    <row r="27" spans="1:10" ht="14.25">
      <c r="A27" s="5">
        <v>23</v>
      </c>
      <c r="B27" s="7">
        <f>'各镇墩钢管上下游转弯处及伸缩处水头计算'!B27</f>
        <v>65.761</v>
      </c>
      <c r="C27" s="7">
        <f>'各镇墩钢管上下游转弯处及伸缩处水头计算'!C27</f>
        <v>2</v>
      </c>
      <c r="D27" s="7">
        <f>'夹角计算'!E28</f>
        <v>25.807000000000002</v>
      </c>
      <c r="E27" s="7">
        <f>'夹角计算'!F28</f>
        <v>25.807000000000002</v>
      </c>
      <c r="F27" s="7">
        <v>3.31</v>
      </c>
      <c r="G27" s="7">
        <v>3.62</v>
      </c>
      <c r="H27" s="7">
        <f t="shared" si="0"/>
        <v>94.71547233002435</v>
      </c>
      <c r="I27" s="7">
        <f t="shared" si="1"/>
        <v>3.1503810979224203</v>
      </c>
      <c r="J27" s="13"/>
    </row>
    <row r="28" spans="1:10" ht="14.25">
      <c r="A28" s="5">
        <v>24</v>
      </c>
      <c r="B28" s="7">
        <f>'各镇墩钢管上下游转弯处及伸缩处水头计算'!B28</f>
        <v>96.548</v>
      </c>
      <c r="C28" s="7">
        <f>'各镇墩钢管上下游转弯处及伸缩处水头计算'!C28</f>
        <v>2</v>
      </c>
      <c r="D28" s="7">
        <f>'夹角计算'!E29</f>
        <v>25.807000000000002</v>
      </c>
      <c r="E28" s="7">
        <f>'夹角计算'!F29</f>
        <v>26.844</v>
      </c>
      <c r="F28" s="7">
        <v>3.62</v>
      </c>
      <c r="G28" s="7">
        <v>3.62</v>
      </c>
      <c r="H28" s="7">
        <f t="shared" si="0"/>
        <v>152.0814971211069</v>
      </c>
      <c r="I28" s="7">
        <f t="shared" si="1"/>
        <v>3.2677807257810376</v>
      </c>
      <c r="J28" s="13"/>
    </row>
    <row r="29" spans="1:10" ht="14.25">
      <c r="A29" s="5">
        <v>25</v>
      </c>
      <c r="B29" s="7">
        <f>'各镇墩钢管上下游转弯处及伸缩处水头计算'!B29</f>
        <v>83.945</v>
      </c>
      <c r="C29" s="7">
        <f>'各镇墩钢管上下游转弯处及伸缩处水头计算'!C29</f>
        <v>2</v>
      </c>
      <c r="D29" s="7">
        <f>'夹角计算'!E30</f>
        <v>26.844</v>
      </c>
      <c r="E29" s="7">
        <f>'夹角计算'!F30</f>
        <v>22.153000000000002</v>
      </c>
      <c r="F29" s="7">
        <v>3.62</v>
      </c>
      <c r="G29" s="7">
        <v>3.62</v>
      </c>
      <c r="H29" s="7">
        <f t="shared" si="0"/>
        <v>137.1569265128446</v>
      </c>
      <c r="I29" s="7">
        <f t="shared" si="1"/>
        <v>2.7287532097247538</v>
      </c>
      <c r="J29" s="13"/>
    </row>
    <row r="30" spans="1:10" ht="14.25">
      <c r="A30" s="5">
        <v>26</v>
      </c>
      <c r="B30" s="7">
        <f>'各镇墩钢管上下游转弯处及伸缩处水头计算'!B30</f>
        <v>85.854</v>
      </c>
      <c r="C30" s="7">
        <f>'各镇墩钢管上下游转弯处及伸缩处水头计算'!C30</f>
        <v>2</v>
      </c>
      <c r="D30" s="7">
        <f>'夹角计算'!E31</f>
        <v>22.153000000000002</v>
      </c>
      <c r="E30" s="7">
        <f>'夹角计算'!F31</f>
        <v>18.296</v>
      </c>
      <c r="F30" s="7">
        <v>3.62</v>
      </c>
      <c r="G30" s="7">
        <v>3.62</v>
      </c>
      <c r="H30" s="7">
        <f t="shared" si="0"/>
        <v>117.1371890338545</v>
      </c>
      <c r="I30" s="7">
        <f t="shared" si="1"/>
        <v>2.2717126681405735</v>
      </c>
      <c r="J30" s="13"/>
    </row>
    <row r="31" spans="1:10" ht="14.25">
      <c r="A31" s="5">
        <v>27</v>
      </c>
      <c r="B31" s="7">
        <f>'各镇墩钢管上下游转弯处及伸缩处水头计算'!B31</f>
        <v>51.634</v>
      </c>
      <c r="C31" s="7">
        <f>'各镇墩钢管上下游转弯处及伸缩处水头计算'!C31</f>
        <v>2</v>
      </c>
      <c r="D31" s="7">
        <f>'夹角计算'!E32</f>
        <v>18.296</v>
      </c>
      <c r="E31" s="7">
        <f>'夹角计算'!F32</f>
        <v>29.942999999999998</v>
      </c>
      <c r="F31" s="7">
        <v>3.62</v>
      </c>
      <c r="G31" s="7">
        <v>3.62</v>
      </c>
      <c r="H31" s="7">
        <f t="shared" si="0"/>
        <v>58.64880595338519</v>
      </c>
      <c r="I31" s="7">
        <f t="shared" si="1"/>
        <v>3.6120983064176655</v>
      </c>
      <c r="J31" s="13"/>
    </row>
    <row r="32" spans="1:10" ht="14.25">
      <c r="A32" s="5">
        <v>28</v>
      </c>
      <c r="B32" s="7">
        <f>'各镇墩钢管上下游转弯处及伸缩处水头计算'!B32</f>
        <v>60.904</v>
      </c>
      <c r="C32" s="7">
        <f>'各镇墩钢管上下游转弯处及伸缩处水头计算'!C32</f>
        <v>2</v>
      </c>
      <c r="D32" s="7">
        <f>'夹角计算'!E33</f>
        <v>29.942999999999998</v>
      </c>
      <c r="E32" s="7">
        <f>'夹角计算'!F33</f>
        <v>0</v>
      </c>
      <c r="F32" s="7">
        <v>3.62</v>
      </c>
      <c r="G32" s="7">
        <v>3.62</v>
      </c>
      <c r="H32" s="7">
        <f t="shared" si="0"/>
        <v>109.99561762703075</v>
      </c>
      <c r="I32" s="7">
        <f t="shared" si="1"/>
        <v>0</v>
      </c>
      <c r="J32" s="13"/>
    </row>
    <row r="33" spans="1:10" ht="14.25">
      <c r="A33" s="21" t="s">
        <v>188</v>
      </c>
      <c r="B33" s="7">
        <f>'各镇墩钢管上下游转弯处及伸缩处水头计算'!B33</f>
        <v>60.904</v>
      </c>
      <c r="C33" s="7">
        <f>'各镇墩钢管上下游转弯处及伸缩处水头计算'!C33</f>
        <v>2</v>
      </c>
      <c r="D33" s="7">
        <f>'夹角计算'!E34</f>
        <v>29.943</v>
      </c>
      <c r="E33" s="7">
        <f>'夹角计算'!F34</f>
        <v>29.943</v>
      </c>
      <c r="F33" s="7">
        <v>3.62</v>
      </c>
      <c r="G33" s="7">
        <v>1.83</v>
      </c>
      <c r="H33" s="7">
        <f t="shared" si="0"/>
        <v>109.99561762703075</v>
      </c>
      <c r="I33" s="7">
        <f t="shared" si="1"/>
        <v>1.8260054974431845</v>
      </c>
      <c r="J33" s="13"/>
    </row>
    <row r="34" spans="1:10" ht="14.25">
      <c r="A34" s="21">
        <v>29</v>
      </c>
      <c r="B34" s="7">
        <f>'各镇墩钢管上下游转弯处及伸缩处水头计算'!B34</f>
        <v>12</v>
      </c>
      <c r="C34" s="7">
        <f>'各镇墩钢管上下游转弯处及伸缩处水头计算'!C34</f>
        <v>2</v>
      </c>
      <c r="D34" s="7">
        <f>'夹角计算'!E35</f>
        <v>29.943</v>
      </c>
      <c r="E34" s="7">
        <f>'夹角计算'!F35</f>
        <v>0</v>
      </c>
      <c r="F34" s="7">
        <v>1.83</v>
      </c>
      <c r="G34" s="7">
        <v>1.83</v>
      </c>
      <c r="H34" s="7">
        <f t="shared" si="0"/>
        <v>10.956032984659107</v>
      </c>
      <c r="I34" s="7">
        <f t="shared" si="1"/>
        <v>0</v>
      </c>
      <c r="J34" s="13"/>
    </row>
    <row r="35" spans="1:9" ht="15.75">
      <c r="A35" s="50" t="s">
        <v>52</v>
      </c>
      <c r="B35" s="50"/>
      <c r="C35" s="50"/>
      <c r="D35" s="50"/>
      <c r="E35" s="50"/>
      <c r="F35" s="50"/>
      <c r="G35" s="50"/>
      <c r="H35" s="50"/>
      <c r="I35" s="3"/>
    </row>
    <row r="36" spans="1:10" ht="15.75">
      <c r="A36" s="58" t="s">
        <v>1</v>
      </c>
      <c r="B36" s="58"/>
      <c r="C36" s="59" t="s">
        <v>9</v>
      </c>
      <c r="D36" s="58"/>
      <c r="E36" s="59" t="s">
        <v>40</v>
      </c>
      <c r="F36" s="58"/>
      <c r="G36" s="59" t="s">
        <v>53</v>
      </c>
      <c r="H36" s="58"/>
      <c r="I36" s="57"/>
      <c r="J36" s="57"/>
    </row>
    <row r="37" spans="1:10" ht="15.75">
      <c r="A37" s="58">
        <v>28</v>
      </c>
      <c r="B37" s="58"/>
      <c r="C37" s="59">
        <v>0.31</v>
      </c>
      <c r="D37" s="58"/>
      <c r="E37" s="59">
        <v>954.99</v>
      </c>
      <c r="F37" s="58"/>
      <c r="G37" s="55">
        <f>3.14*C37^2*9.81*E37/4</f>
        <v>706.7419586581501</v>
      </c>
      <c r="H37" s="56"/>
      <c r="I37" s="57"/>
      <c r="J37" s="57"/>
    </row>
    <row r="38" spans="1:10" ht="15.75">
      <c r="A38" s="58">
        <v>29</v>
      </c>
      <c r="B38" s="58"/>
      <c r="C38" s="59">
        <v>0.31</v>
      </c>
      <c r="D38" s="58"/>
      <c r="E38" s="59">
        <v>954.99</v>
      </c>
      <c r="F38" s="58"/>
      <c r="G38" s="55">
        <f>3.14*C38^2*9.81*E38/4</f>
        <v>706.7419586581501</v>
      </c>
      <c r="H38" s="56"/>
      <c r="I38" s="57"/>
      <c r="J38" s="57"/>
    </row>
  </sheetData>
  <mergeCells count="17">
    <mergeCell ref="A1:I1"/>
    <mergeCell ref="A36:B36"/>
    <mergeCell ref="C36:D36"/>
    <mergeCell ref="E36:F36"/>
    <mergeCell ref="G36:H36"/>
    <mergeCell ref="I36:J36"/>
    <mergeCell ref="A35:H35"/>
    <mergeCell ref="A37:B37"/>
    <mergeCell ref="A38:B38"/>
    <mergeCell ref="C38:D38"/>
    <mergeCell ref="E38:F38"/>
    <mergeCell ref="C37:D37"/>
    <mergeCell ref="E37:F37"/>
    <mergeCell ref="G37:H37"/>
    <mergeCell ref="G38:H38"/>
    <mergeCell ref="I38:J38"/>
    <mergeCell ref="I37:J3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7">
      <selection activeCell="F33" sqref="F33:F34"/>
    </sheetView>
  </sheetViews>
  <sheetFormatPr defaultColWidth="9.00390625" defaultRowHeight="14.25"/>
  <cols>
    <col min="2" max="4" width="9.125" style="0" bestFit="1" customWidth="1"/>
    <col min="5" max="5" width="9.50390625" style="0" bestFit="1" customWidth="1"/>
    <col min="6" max="6" width="10.50390625" style="0" bestFit="1" customWidth="1"/>
  </cols>
  <sheetData>
    <row r="1" spans="1:6" ht="15.75">
      <c r="A1" s="52" t="s">
        <v>54</v>
      </c>
      <c r="B1" s="52"/>
      <c r="C1" s="52"/>
      <c r="D1" s="52"/>
      <c r="E1" s="52"/>
      <c r="F1" s="52"/>
    </row>
    <row r="2" spans="1:6" ht="15.75">
      <c r="A2" s="5" t="s">
        <v>1</v>
      </c>
      <c r="B2" s="6" t="s">
        <v>9</v>
      </c>
      <c r="C2" s="6" t="s">
        <v>41</v>
      </c>
      <c r="D2" s="6" t="s">
        <v>55</v>
      </c>
      <c r="E2" s="6" t="s">
        <v>56</v>
      </c>
      <c r="F2" s="6" t="s">
        <v>57</v>
      </c>
    </row>
    <row r="3" spans="1:7" ht="14.25">
      <c r="A3" s="5">
        <v>0</v>
      </c>
      <c r="B3" s="7">
        <v>0.6</v>
      </c>
      <c r="C3" s="7">
        <f>'各镇墩钢管上下游转弯处及伸缩处水头计算'!H3</f>
        <v>6.634999999999991</v>
      </c>
      <c r="D3" s="7">
        <f>'各镇墩钢管上下游转弯处及伸缩处水头计算'!I3</f>
        <v>6.6493985123240265</v>
      </c>
      <c r="E3" s="7">
        <f>3.14*B3^2*C3*9.8/4</f>
        <v>18.37549979999998</v>
      </c>
      <c r="F3" s="7">
        <f>-3.14*B3^2*9.8*D3/4</f>
        <v>-18.415376191911147</v>
      </c>
      <c r="G3" s="13"/>
    </row>
    <row r="4" spans="1:7" ht="14.25">
      <c r="A4" s="5">
        <v>1</v>
      </c>
      <c r="B4" s="7">
        <v>0.6</v>
      </c>
      <c r="C4" s="7">
        <f>'各镇墩钢管上下游转弯处及伸缩处水头计算'!H4</f>
        <v>16.445709094415122</v>
      </c>
      <c r="D4" s="7">
        <f>'各镇墩钢管上下游转弯处及伸缩处水头计算'!I4</f>
        <v>16.49408370873366</v>
      </c>
      <c r="E4" s="7">
        <f aca="true" t="shared" si="0" ref="E4:E34">3.14*B4^2*C4*9.8/4</f>
        <v>45.546062422800794</v>
      </c>
      <c r="F4" s="7">
        <f aca="true" t="shared" si="1" ref="F4:F34">-3.14*B4^2*9.8*D4/4</f>
        <v>-45.68003494966369</v>
      </c>
      <c r="G4" s="13"/>
    </row>
    <row r="5" spans="1:7" ht="15.75">
      <c r="A5" s="6" t="s">
        <v>158</v>
      </c>
      <c r="B5" s="7">
        <v>0.6</v>
      </c>
      <c r="C5" s="7">
        <f>'各镇墩钢管上下游转弯处及伸缩处水头计算'!H5</f>
        <v>30.24279974972996</v>
      </c>
      <c r="D5" s="7">
        <f>'各镇墩钢管上下游转弯处及伸缩处水头计算'!I5</f>
        <v>30.356600960243167</v>
      </c>
      <c r="E5" s="7">
        <f t="shared" si="0"/>
        <v>83.75682905088215</v>
      </c>
      <c r="F5" s="7">
        <f t="shared" si="1"/>
        <v>-84.07199922737425</v>
      </c>
      <c r="G5" s="13"/>
    </row>
    <row r="6" spans="1:7" ht="14.25">
      <c r="A6" s="5">
        <v>2</v>
      </c>
      <c r="B6" s="7">
        <v>0.6</v>
      </c>
      <c r="C6" s="7">
        <f>'各镇墩钢管上下游转弯处及伸缩处水头计算'!H6</f>
        <v>49.999768285244826</v>
      </c>
      <c r="D6" s="7">
        <f>'各镇墩钢管上下游转弯处及伸缩处水头计算'!I6</f>
        <v>50.17384547547024</v>
      </c>
      <c r="E6" s="7">
        <f t="shared" si="0"/>
        <v>138.47335827061985</v>
      </c>
      <c r="F6" s="7">
        <f t="shared" si="1"/>
        <v>-138.9554615674053</v>
      </c>
      <c r="G6" s="13"/>
    </row>
    <row r="7" spans="1:7" ht="14.25">
      <c r="A7" s="5">
        <v>3</v>
      </c>
      <c r="B7" s="7">
        <v>0.6</v>
      </c>
      <c r="C7" s="7">
        <f>'各镇墩钢管上下游转弯处及伸缩处水头计算'!H7</f>
        <v>73.43311907722249</v>
      </c>
      <c r="D7" s="7">
        <f>'各镇墩钢管上下游转弯处及伸缩处水头计算'!I7</f>
        <v>73.53899449660462</v>
      </c>
      <c r="E7" s="7">
        <f t="shared" si="0"/>
        <v>203.37155462198615</v>
      </c>
      <c r="F7" s="7">
        <f t="shared" si="1"/>
        <v>-203.66477447845656</v>
      </c>
      <c r="G7" s="13"/>
    </row>
    <row r="8" spans="1:7" ht="14.25">
      <c r="A8" s="5">
        <v>4</v>
      </c>
      <c r="B8" s="7">
        <v>0.6</v>
      </c>
      <c r="C8" s="7">
        <f>'各镇墩钢管上下游转弯处及伸缩处水头计算'!H8</f>
        <v>82.43180616499204</v>
      </c>
      <c r="D8" s="7">
        <f>'各镇墩钢管上下游转弯处及伸缩处水头计算'!I8</f>
        <v>82.4550528403429</v>
      </c>
      <c r="E8" s="7">
        <f t="shared" si="0"/>
        <v>228.2932385378222</v>
      </c>
      <c r="F8" s="7">
        <f t="shared" si="1"/>
        <v>-228.35761974027287</v>
      </c>
      <c r="G8" s="13"/>
    </row>
    <row r="9" spans="1:7" ht="14.25">
      <c r="A9" s="5">
        <v>5</v>
      </c>
      <c r="B9" s="7">
        <v>0.6</v>
      </c>
      <c r="C9" s="7">
        <f>'各镇墩钢管上下游转弯处及伸缩处水头计算'!H9</f>
        <v>92.11862398269633</v>
      </c>
      <c r="D9" s="7">
        <f>'各镇墩钢管上下游转弯处及伸缩处水头计算'!I9</f>
        <v>92.21502107327906</v>
      </c>
      <c r="E9" s="7">
        <f t="shared" si="0"/>
        <v>255.1206867475979</v>
      </c>
      <c r="F9" s="7">
        <f t="shared" si="1"/>
        <v>-255.38765656202492</v>
      </c>
      <c r="G9" s="13"/>
    </row>
    <row r="10" spans="1:7" ht="14.25">
      <c r="A10" s="5">
        <v>6</v>
      </c>
      <c r="B10" s="7">
        <v>0.6</v>
      </c>
      <c r="C10" s="7">
        <f>'各镇墩钢管上下游转弯处及伸缩处水头计算'!H10</f>
        <v>114.44491959383086</v>
      </c>
      <c r="D10" s="7">
        <f>'各镇墩钢管上下游转弯处及伸缩处水头计算'!I10</f>
        <v>114.5511916876326</v>
      </c>
      <c r="E10" s="7">
        <f t="shared" si="0"/>
        <v>316.9529159167227</v>
      </c>
      <c r="F10" s="7">
        <f t="shared" si="1"/>
        <v>-317.24723435506473</v>
      </c>
      <c r="G10" s="13"/>
    </row>
    <row r="11" spans="1:7" ht="14.25">
      <c r="A11" s="5">
        <v>7</v>
      </c>
      <c r="B11" s="7">
        <v>0.6</v>
      </c>
      <c r="C11" s="7">
        <f>'各镇墩钢管上下游转弯处及伸缩处水头计算'!H11</f>
        <v>131.4211170574417</v>
      </c>
      <c r="D11" s="7">
        <f>'各镇墩钢管上下游转弯处及伸缩处水头计算'!I11</f>
        <v>131.4641137392306</v>
      </c>
      <c r="E11" s="7">
        <f t="shared" si="0"/>
        <v>363.9681552682437</v>
      </c>
      <c r="F11" s="7">
        <f t="shared" si="1"/>
        <v>-364.08723371852443</v>
      </c>
      <c r="G11" s="13"/>
    </row>
    <row r="12" spans="1:7" ht="14.25">
      <c r="A12" s="5">
        <v>8</v>
      </c>
      <c r="B12" s="7">
        <v>0.6</v>
      </c>
      <c r="C12" s="7">
        <f>'各镇墩钢管上下游转弯处及伸缩处水头计算'!H12</f>
        <v>147.3355945582932</v>
      </c>
      <c r="D12" s="7">
        <f>'各镇墩钢管上下游转弯处及伸缩处水头计算'!I12</f>
        <v>147.3785912400821</v>
      </c>
      <c r="E12" s="7">
        <f t="shared" si="0"/>
        <v>408.0429824173019</v>
      </c>
      <c r="F12" s="7">
        <f t="shared" si="1"/>
        <v>-408.1620608675826</v>
      </c>
      <c r="G12" s="13"/>
    </row>
    <row r="13" spans="1:7" ht="14.25">
      <c r="A13" s="5">
        <v>9</v>
      </c>
      <c r="B13" s="7">
        <v>0.6</v>
      </c>
      <c r="C13" s="7">
        <f>'各镇墩钢管上下游转弯处及伸缩处水头计算'!H13</f>
        <v>161.71774752007303</v>
      </c>
      <c r="D13" s="7">
        <f>'各镇墩钢管上下游转弯处及伸缩处水头计算'!I13</f>
        <v>161.85539828432687</v>
      </c>
      <c r="E13" s="7">
        <f t="shared" si="0"/>
        <v>447.8740674018919</v>
      </c>
      <c r="F13" s="7">
        <f t="shared" si="1"/>
        <v>-448.2552884404776</v>
      </c>
      <c r="G13" s="13"/>
    </row>
    <row r="14" spans="1:7" ht="14.25">
      <c r="A14" s="5">
        <v>10</v>
      </c>
      <c r="B14" s="7">
        <v>0.6</v>
      </c>
      <c r="C14" s="7">
        <f>'各镇墩钢管上下游转弯处及伸缩处水头计算'!H14</f>
        <v>192.3195631549701</v>
      </c>
      <c r="D14" s="7">
        <f>'各镇墩钢管上下游转弯处及伸缩处水头计算'!I14</f>
        <v>193.13989635721273</v>
      </c>
      <c r="E14" s="7">
        <f t="shared" si="0"/>
        <v>532.6251837664266</v>
      </c>
      <c r="F14" s="7">
        <f t="shared" si="1"/>
        <v>-534.8970801633735</v>
      </c>
      <c r="G14" s="13"/>
    </row>
    <row r="15" spans="1:7" ht="14.25">
      <c r="A15" s="5">
        <v>11</v>
      </c>
      <c r="B15" s="7">
        <v>0.6</v>
      </c>
      <c r="C15" s="7">
        <f>'各镇墩钢管上下游转弯处及伸缩处水头计算'!H15</f>
        <v>245.50956867384025</v>
      </c>
      <c r="D15" s="7">
        <f>'各镇墩钢管上下游转弯处及伸缩处水头计算'!I15</f>
        <v>247.0285714137234</v>
      </c>
      <c r="E15" s="7">
        <f t="shared" si="0"/>
        <v>679.9338402508272</v>
      </c>
      <c r="F15" s="7">
        <f t="shared" si="1"/>
        <v>-684.1406879588787</v>
      </c>
      <c r="G15" s="13"/>
    </row>
    <row r="16" spans="1:7" ht="14.25">
      <c r="A16" s="5">
        <v>12</v>
      </c>
      <c r="B16" s="7">
        <v>0.6</v>
      </c>
      <c r="C16" s="7">
        <f>'各镇墩钢管上下游转弯处及伸缩处水头计算'!H16</f>
        <v>303.91390800056905</v>
      </c>
      <c r="D16" s="7">
        <f>'各镇墩钢管上下游转弯处及伸缩处水头计算'!I16</f>
        <v>305.63143625047917</v>
      </c>
      <c r="E16" s="7">
        <f t="shared" si="0"/>
        <v>841.683489929416</v>
      </c>
      <c r="F16" s="7">
        <f t="shared" si="1"/>
        <v>-846.4401500669771</v>
      </c>
      <c r="G16" s="13"/>
    </row>
    <row r="17" spans="1:7" ht="14.25">
      <c r="A17" s="5">
        <v>13</v>
      </c>
      <c r="B17" s="7">
        <v>0.6</v>
      </c>
      <c r="C17" s="7">
        <f>'各镇墩钢管上下游转弯处及伸缩处水头计算'!H17</f>
        <v>346.5004188306798</v>
      </c>
      <c r="D17" s="7">
        <f>'各镇墩钢管上下游转弯处及伸缩处水头计算'!I17</f>
        <v>348.21845009653885</v>
      </c>
      <c r="E17" s="7">
        <f t="shared" si="0"/>
        <v>959.6259799431912</v>
      </c>
      <c r="F17" s="7">
        <f t="shared" si="1"/>
        <v>-964.3840331733625</v>
      </c>
      <c r="G17" s="13"/>
    </row>
    <row r="18" spans="1:7" ht="14.25">
      <c r="A18" s="5">
        <v>14</v>
      </c>
      <c r="B18" s="7">
        <v>0.6</v>
      </c>
      <c r="C18" s="7">
        <f>'各镇墩钢管上下游转弯处及伸缩处水头计算'!H18</f>
        <v>400.6581608425066</v>
      </c>
      <c r="D18" s="7">
        <f>'各镇墩钢管上下游转弯处及伸缩处水头计算'!I18</f>
        <v>401.9539373018271</v>
      </c>
      <c r="E18" s="7">
        <f t="shared" si="0"/>
        <v>1109.6147632901054</v>
      </c>
      <c r="F18" s="7">
        <f t="shared" si="1"/>
        <v>-1113.2033902786643</v>
      </c>
      <c r="G18" s="13"/>
    </row>
    <row r="19" spans="1:7" ht="14.25">
      <c r="A19" s="5">
        <v>15</v>
      </c>
      <c r="B19" s="7">
        <v>0.6</v>
      </c>
      <c r="C19" s="7">
        <f>'各镇墩钢管上下游转弯处及伸缩处水头计算'!H19</f>
        <v>446.7575193944059</v>
      </c>
      <c r="D19" s="7">
        <f>'各镇墩钢管上下游转弯处及伸缩处水头计算'!I19</f>
        <v>447.33592369971876</v>
      </c>
      <c r="E19" s="7">
        <f t="shared" si="0"/>
        <v>1237.2860148124194</v>
      </c>
      <c r="F19" s="7">
        <f t="shared" si="1"/>
        <v>-1238.8878939678973</v>
      </c>
      <c r="G19" s="13"/>
    </row>
    <row r="20" spans="1:7" ht="14.25">
      <c r="A20" s="5">
        <v>16</v>
      </c>
      <c r="B20" s="7">
        <v>0.6</v>
      </c>
      <c r="C20" s="7">
        <f>'各镇墩钢管上下游转弯处及伸缩处水头计算'!H20</f>
        <v>469.6153974502917</v>
      </c>
      <c r="D20" s="7">
        <f>'各镇墩钢管上下游转弯处及伸缩处水头计算'!I20</f>
        <v>470.26245491224444</v>
      </c>
      <c r="E20" s="7">
        <f t="shared" si="0"/>
        <v>1300.5904509306342</v>
      </c>
      <c r="F20" s="7">
        <f t="shared" si="1"/>
        <v>-1302.3824636303627</v>
      </c>
      <c r="G20" s="13"/>
    </row>
    <row r="21" spans="1:7" ht="14.25">
      <c r="A21" s="5">
        <v>17</v>
      </c>
      <c r="B21" s="7">
        <v>0.6</v>
      </c>
      <c r="C21" s="7">
        <f>'各镇墩钢管上下游转弯处及伸缩处水头计算'!H21</f>
        <v>520.7160275019344</v>
      </c>
      <c r="D21" s="7">
        <f>'各镇墩钢管上下游转弯处及伸缩处水头计算'!I21</f>
        <v>522.0769401734411</v>
      </c>
      <c r="E21" s="7">
        <f t="shared" si="0"/>
        <v>1442.1126238460572</v>
      </c>
      <c r="F21" s="7">
        <f t="shared" si="1"/>
        <v>-1445.8816442715417</v>
      </c>
      <c r="G21" s="13"/>
    </row>
    <row r="22" spans="1:7" ht="14.25">
      <c r="A22" s="5">
        <v>18</v>
      </c>
      <c r="B22" s="7">
        <v>0.6</v>
      </c>
      <c r="C22" s="7">
        <f>'各镇墩钢管上下游转弯处及伸缩处水头计算'!H22</f>
        <v>601.0801313697978</v>
      </c>
      <c r="D22" s="7">
        <f>'各镇墩钢管上下游转弯处及伸缩处水头计算'!I22</f>
        <v>601.9466911377699</v>
      </c>
      <c r="E22" s="7">
        <f t="shared" si="0"/>
        <v>1664.6794022260276</v>
      </c>
      <c r="F22" s="7">
        <f t="shared" si="1"/>
        <v>-1667.079322172231</v>
      </c>
      <c r="G22" s="13"/>
    </row>
    <row r="23" spans="1:7" ht="14.25">
      <c r="A23" s="5">
        <v>19</v>
      </c>
      <c r="B23" s="7">
        <v>0.6</v>
      </c>
      <c r="C23" s="7">
        <f>'各镇墩钢管上下游转弯处及伸缩处水头计算'!H23</f>
        <v>623.1478455013843</v>
      </c>
      <c r="D23" s="7">
        <f>'各镇墩钢管上下游转弯处及伸缩处水头计算'!I23</f>
        <v>623.2208554204509</v>
      </c>
      <c r="E23" s="7">
        <f t="shared" si="0"/>
        <v>1725.7954951591742</v>
      </c>
      <c r="F23" s="7">
        <f t="shared" si="1"/>
        <v>-1725.9976946698305</v>
      </c>
      <c r="G23" s="13"/>
    </row>
    <row r="24" spans="1:7" ht="14.25">
      <c r="A24" s="5">
        <v>20</v>
      </c>
      <c r="B24" s="7">
        <v>0.6</v>
      </c>
      <c r="C24" s="7">
        <f>'各镇墩钢管上下游转弯处及伸缩处水头计算'!H24</f>
        <v>637.7461448876454</v>
      </c>
      <c r="D24" s="7">
        <f>'各镇墩钢管上下游转弯处及伸缩处水头计算'!I24</f>
        <v>637.8734178329225</v>
      </c>
      <c r="E24" s="7">
        <f t="shared" si="0"/>
        <v>1766.2251933434366</v>
      </c>
      <c r="F24" s="7">
        <f t="shared" si="1"/>
        <v>-1766.5776732199224</v>
      </c>
      <c r="G24" s="13"/>
    </row>
    <row r="25" spans="1:7" ht="14.25">
      <c r="A25" s="5">
        <v>21</v>
      </c>
      <c r="B25" s="7">
        <v>0.6</v>
      </c>
      <c r="C25" s="7">
        <f>'各镇墩钢管上下游转弯处及伸缩处水头计算'!H25</f>
        <v>669.404373358762</v>
      </c>
      <c r="D25" s="7">
        <f>'各镇墩钢管上下游转弯处及伸缩处水头计算'!I25</f>
        <v>669.8912838086732</v>
      </c>
      <c r="E25" s="7">
        <f t="shared" si="0"/>
        <v>1853.9020239296242</v>
      </c>
      <c r="F25" s="7">
        <f t="shared" si="1"/>
        <v>-1855.2505126824442</v>
      </c>
      <c r="G25" s="13"/>
    </row>
    <row r="26" spans="1:7" ht="14.25">
      <c r="A26" s="5">
        <v>22</v>
      </c>
      <c r="B26" s="7">
        <v>0.6</v>
      </c>
      <c r="C26" s="7">
        <f>'各镇墩钢管上下游转弯处及伸缩处水头计算'!H26</f>
        <v>699.7751382834639</v>
      </c>
      <c r="D26" s="7">
        <f>'各镇墩钢管上下游转弯处及伸缩处水头计算'!I26</f>
        <v>700.5736254386886</v>
      </c>
      <c r="E26" s="7">
        <f t="shared" si="0"/>
        <v>1938.0132499732877</v>
      </c>
      <c r="F26" s="7">
        <f t="shared" si="1"/>
        <v>-1940.2246441799396</v>
      </c>
      <c r="G26" s="13"/>
    </row>
    <row r="27" spans="1:7" ht="14.25">
      <c r="A27" s="5">
        <v>23</v>
      </c>
      <c r="B27" s="7">
        <v>0.6</v>
      </c>
      <c r="C27" s="7">
        <f>'各镇墩钢管上下游转弯处及伸缩处水头计算'!H27</f>
        <v>735.9210604002255</v>
      </c>
      <c r="D27" s="7">
        <f>'各镇墩钢管上下游转弯处及伸缩处水头计算'!I27</f>
        <v>736.7622433342276</v>
      </c>
      <c r="E27" s="7">
        <f t="shared" si="0"/>
        <v>2038.1186583572169</v>
      </c>
      <c r="F27" s="7">
        <f t="shared" si="1"/>
        <v>-2040.4482976692768</v>
      </c>
      <c r="G27" s="13"/>
    </row>
    <row r="28" spans="1:7" ht="14.25">
      <c r="A28" s="5">
        <v>24</v>
      </c>
      <c r="B28" s="7">
        <v>0.6</v>
      </c>
      <c r="C28" s="7">
        <f>'各镇墩钢管上下游转弯处及伸缩处水头计算'!H28</f>
        <v>788.5522797648983</v>
      </c>
      <c r="D28" s="7">
        <f>'各镇墩钢管上下游转弯处及伸缩处水头计算'!I28</f>
        <v>789.4294599069199</v>
      </c>
      <c r="E28" s="7">
        <f t="shared" si="0"/>
        <v>2183.879767763291</v>
      </c>
      <c r="F28" s="7">
        <f t="shared" si="1"/>
        <v>-2186.3091006230165</v>
      </c>
      <c r="G28" s="13"/>
    </row>
    <row r="29" spans="1:7" ht="14.25">
      <c r="A29" s="5">
        <v>25</v>
      </c>
      <c r="B29" s="7">
        <v>0.6</v>
      </c>
      <c r="C29" s="7">
        <f>'各镇墩钢管上下游转弯处及伸缩处水头计算'!H29</f>
        <v>836.3531085634623</v>
      </c>
      <c r="D29" s="7">
        <f>'各镇墩钢管上下游转弯处及伸缩处水头计算'!I29</f>
        <v>837.1164236920656</v>
      </c>
      <c r="E29" s="7">
        <f t="shared" si="0"/>
        <v>2316.263207104338</v>
      </c>
      <c r="F29" s="7">
        <f t="shared" si="1"/>
        <v>-2318.377193086702</v>
      </c>
      <c r="G29" s="13"/>
    </row>
    <row r="30" spans="1:7" ht="14.25">
      <c r="A30" s="5">
        <v>26</v>
      </c>
      <c r="B30" s="7">
        <v>0.6</v>
      </c>
      <c r="C30" s="7">
        <f>'各镇墩钢管上下游转弯处及伸缩处水头计算'!H30</f>
        <v>876.7081924846195</v>
      </c>
      <c r="D30" s="7">
        <f>'各镇墩钢管上下游转弯处及伸缩处水头计算'!I30</f>
        <v>877.2222982914276</v>
      </c>
      <c r="E30" s="7">
        <f t="shared" si="0"/>
        <v>2428.0258049223044</v>
      </c>
      <c r="F30" s="7">
        <f t="shared" si="1"/>
        <v>-2429.449610672143</v>
      </c>
      <c r="G30" s="13"/>
    </row>
    <row r="31" spans="1:6" ht="14.25">
      <c r="A31" s="5">
        <v>27</v>
      </c>
      <c r="B31" s="7">
        <v>0.6</v>
      </c>
      <c r="C31" s="7">
        <f>'各镇墩钢管上下游转弯处及伸缩处水头计算'!H31</f>
        <v>915.3682588442483</v>
      </c>
      <c r="D31" s="7">
        <f>'各镇墩钢管上下游转弯处及伸缩处水头计算'!I31</f>
        <v>916.150053416156</v>
      </c>
      <c r="E31" s="7">
        <f t="shared" si="0"/>
        <v>2535.0940855039694</v>
      </c>
      <c r="F31" s="7">
        <f t="shared" si="1"/>
        <v>-2537.2592499349757</v>
      </c>
    </row>
    <row r="32" spans="1:6" ht="14.25">
      <c r="A32" s="5">
        <v>28</v>
      </c>
      <c r="B32" s="29">
        <v>0.3</v>
      </c>
      <c r="C32" s="7">
        <f>'各镇墩钢管上下游转弯处及伸缩处水头计算'!H32</f>
        <v>954.4125847813177</v>
      </c>
      <c r="D32" s="7">
        <f>'各镇墩钢管上下游转弯处及伸缩处水头计算'!I32</f>
        <v>954.9870000000001</v>
      </c>
      <c r="E32" s="7">
        <f t="shared" si="0"/>
        <v>660.806641325041</v>
      </c>
      <c r="F32" s="7">
        <f t="shared" si="1"/>
        <v>-661.2043491900001</v>
      </c>
    </row>
    <row r="33" spans="1:6" ht="14.25">
      <c r="A33" t="s">
        <v>185</v>
      </c>
      <c r="B33" s="29">
        <v>0.3</v>
      </c>
      <c r="C33" s="7">
        <f>'各镇墩钢管上下游转弯处及伸缩处水头计算'!H33</f>
        <v>954.4125847813177</v>
      </c>
      <c r="D33" s="7">
        <f>'各镇墩钢管上下游转弯处及伸缩处水头计算'!I33</f>
        <v>955.5614152186824</v>
      </c>
      <c r="E33" s="7">
        <f t="shared" si="0"/>
        <v>660.806641325041</v>
      </c>
      <c r="F33" s="7">
        <f t="shared" si="1"/>
        <v>-661.6020570549592</v>
      </c>
    </row>
    <row r="34" spans="1:6" ht="14.25">
      <c r="A34" s="42">
        <v>29</v>
      </c>
      <c r="B34" s="29">
        <v>0.3</v>
      </c>
      <c r="C34" s="7">
        <f>'各镇墩钢管上下游转弯处及伸缩处水头计算'!H34</f>
        <v>954.7169709721104</v>
      </c>
      <c r="D34" s="7">
        <f>'各镇墩钢管上下游转弯处及伸缩处水头计算'!I34</f>
        <v>955.2913861907928</v>
      </c>
      <c r="E34" s="7">
        <f t="shared" si="0"/>
        <v>661.0173891919602</v>
      </c>
      <c r="F34" s="7">
        <f t="shared" si="1"/>
        <v>-661.4150970569192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0">
      <selection activeCell="H29" sqref="H29"/>
    </sheetView>
  </sheetViews>
  <sheetFormatPr defaultColWidth="9.00390625" defaultRowHeight="14.25"/>
  <sheetData>
    <row r="1" spans="1:6" ht="15.75">
      <c r="A1" s="52" t="s">
        <v>58</v>
      </c>
      <c r="B1" s="52"/>
      <c r="C1" s="52"/>
      <c r="D1" s="52"/>
      <c r="E1" s="52"/>
      <c r="F1" s="52"/>
    </row>
    <row r="2" spans="1:6" ht="18.75">
      <c r="A2" s="5" t="s">
        <v>1</v>
      </c>
      <c r="B2" s="6" t="s">
        <v>59</v>
      </c>
      <c r="C2" s="6" t="s">
        <v>60</v>
      </c>
      <c r="D2" s="6" t="s">
        <v>40</v>
      </c>
      <c r="E2" s="6" t="s">
        <v>61</v>
      </c>
      <c r="F2" s="6" t="s">
        <v>62</v>
      </c>
    </row>
    <row r="3" spans="1:6" ht="14.25">
      <c r="A3" s="5">
        <v>0</v>
      </c>
      <c r="B3" s="5"/>
      <c r="C3" s="5"/>
      <c r="D3" s="5">
        <f>'镇墩转弯处水头'!D3</f>
        <v>6.634999999999991</v>
      </c>
      <c r="E3" s="5">
        <f>3.14/4*(B3^2-C3^2)*9.81*D3</f>
        <v>0</v>
      </c>
      <c r="F3" s="5"/>
    </row>
    <row r="4" spans="1:6" ht="14.25">
      <c r="A4" s="5">
        <v>1</v>
      </c>
      <c r="B4" s="5"/>
      <c r="C4" s="5"/>
      <c r="D4" s="5">
        <f>'镇墩转弯处水头'!D4</f>
        <v>16.460107606739157</v>
      </c>
      <c r="E4" s="5">
        <f aca="true" t="shared" si="0" ref="E4:E34">3.14/4*(B4^2-C4^2)*9.81*D4</f>
        <v>0</v>
      </c>
      <c r="F4" s="5"/>
    </row>
    <row r="5" spans="1:6" ht="15.75">
      <c r="A5" s="6" t="s">
        <v>158</v>
      </c>
      <c r="B5" s="5"/>
      <c r="C5" s="5"/>
      <c r="D5" s="5">
        <f>'镇墩转弯处水头'!D5</f>
        <v>30.276775851724462</v>
      </c>
      <c r="E5" s="5">
        <f t="shared" si="0"/>
        <v>0</v>
      </c>
      <c r="F5" s="5"/>
    </row>
    <row r="6" spans="1:6" ht="14.25">
      <c r="A6" s="5">
        <v>2</v>
      </c>
      <c r="B6" s="5"/>
      <c r="C6" s="5"/>
      <c r="D6" s="5">
        <f>'镇墩转弯处水头'!D6</f>
        <v>50.07959339376353</v>
      </c>
      <c r="E6" s="5">
        <f t="shared" si="0"/>
        <v>0</v>
      </c>
      <c r="F6" s="5"/>
    </row>
    <row r="7" spans="1:6" ht="14.25">
      <c r="A7" s="5">
        <v>3</v>
      </c>
      <c r="B7" s="5"/>
      <c r="C7" s="5"/>
      <c r="D7" s="5">
        <f>'镇墩转弯处水头'!D7</f>
        <v>73.52737115892918</v>
      </c>
      <c r="E7" s="5">
        <f t="shared" si="0"/>
        <v>0</v>
      </c>
      <c r="F7" s="5"/>
    </row>
    <row r="8" spans="1:6" ht="14.25">
      <c r="A8" s="5">
        <v>4</v>
      </c>
      <c r="B8" s="5"/>
      <c r="C8" s="5"/>
      <c r="D8" s="5">
        <f>'镇墩转弯处水头'!D8</f>
        <v>82.44342950266747</v>
      </c>
      <c r="E8" s="5">
        <f t="shared" si="0"/>
        <v>0</v>
      </c>
      <c r="F8" s="5"/>
    </row>
    <row r="9" spans="1:6" ht="14.25">
      <c r="A9" s="5">
        <v>5</v>
      </c>
      <c r="B9" s="5"/>
      <c r="C9" s="5"/>
      <c r="D9" s="5">
        <f>'镇墩转弯处水头'!D9</f>
        <v>92.13024732037177</v>
      </c>
      <c r="E9" s="5">
        <f t="shared" si="0"/>
        <v>0</v>
      </c>
      <c r="F9" s="5"/>
    </row>
    <row r="10" spans="1:6" ht="14.25">
      <c r="A10" s="5">
        <v>6</v>
      </c>
      <c r="B10" s="5"/>
      <c r="C10" s="5"/>
      <c r="D10" s="5">
        <f>'镇墩转弯处水头'!D10</f>
        <v>114.52969334673816</v>
      </c>
      <c r="E10" s="5">
        <f t="shared" si="0"/>
        <v>0</v>
      </c>
      <c r="F10" s="5"/>
    </row>
    <row r="11" spans="1:6" ht="14.25">
      <c r="A11" s="5">
        <v>7</v>
      </c>
      <c r="B11" s="5"/>
      <c r="C11" s="5"/>
      <c r="D11" s="5">
        <f>'镇墩转弯处水头'!D11</f>
        <v>131.44261539833616</v>
      </c>
      <c r="E11" s="5">
        <f t="shared" si="0"/>
        <v>0</v>
      </c>
      <c r="F11" s="5"/>
    </row>
    <row r="12" spans="1:6" ht="14.25">
      <c r="A12" s="5">
        <v>8</v>
      </c>
      <c r="B12" s="5"/>
      <c r="C12" s="5"/>
      <c r="D12" s="5">
        <f>'镇墩转弯处水头'!D12</f>
        <v>147.35709289918765</v>
      </c>
      <c r="E12" s="5">
        <f t="shared" si="0"/>
        <v>0</v>
      </c>
      <c r="F12" s="5"/>
    </row>
    <row r="13" spans="1:6" ht="14.25">
      <c r="A13" s="5">
        <v>9</v>
      </c>
      <c r="B13" s="5"/>
      <c r="C13" s="5"/>
      <c r="D13" s="5">
        <f>'镇墩转弯处水头'!D13</f>
        <v>161.7392458609675</v>
      </c>
      <c r="E13" s="5">
        <f t="shared" si="0"/>
        <v>0</v>
      </c>
      <c r="F13" s="5"/>
    </row>
    <row r="14" spans="1:6" ht="14.25">
      <c r="A14" s="5">
        <v>10</v>
      </c>
      <c r="B14" s="5"/>
      <c r="C14" s="5"/>
      <c r="D14" s="5">
        <f>'镇墩转弯处水头'!D14</f>
        <v>192.43571557832948</v>
      </c>
      <c r="E14" s="5">
        <f t="shared" si="0"/>
        <v>0</v>
      </c>
      <c r="F14" s="5"/>
    </row>
    <row r="15" spans="1:6" ht="14.25">
      <c r="A15" s="5">
        <v>11</v>
      </c>
      <c r="B15" s="5"/>
      <c r="C15" s="5"/>
      <c r="D15" s="5">
        <f>'镇墩转弯处水头'!D15</f>
        <v>246.2137494527235</v>
      </c>
      <c r="E15" s="5">
        <f t="shared" si="0"/>
        <v>0</v>
      </c>
      <c r="F15" s="5"/>
    </row>
    <row r="16" spans="1:6" ht="14.25">
      <c r="A16" s="5">
        <v>12</v>
      </c>
      <c r="B16" s="5"/>
      <c r="C16" s="5"/>
      <c r="D16" s="5">
        <f>'镇墩转弯处水头'!D16</f>
        <v>304.72872996156894</v>
      </c>
      <c r="E16" s="5">
        <f t="shared" si="0"/>
        <v>0</v>
      </c>
      <c r="F16" s="5"/>
    </row>
    <row r="17" spans="1:6" ht="14.25">
      <c r="A17" s="5">
        <v>13</v>
      </c>
      <c r="B17" s="5"/>
      <c r="C17" s="5"/>
      <c r="D17" s="5">
        <f>'镇墩转弯处水头'!D17</f>
        <v>347.40312511959</v>
      </c>
      <c r="E17" s="5">
        <f t="shared" si="0"/>
        <v>0</v>
      </c>
      <c r="F17" s="5"/>
    </row>
    <row r="18" spans="1:6" ht="14.25">
      <c r="A18" s="5">
        <v>14</v>
      </c>
      <c r="B18" s="5"/>
      <c r="C18" s="5"/>
      <c r="D18" s="5">
        <f>'镇墩转弯处水头'!D18</f>
        <v>401.47348581945545</v>
      </c>
      <c r="E18" s="5">
        <f t="shared" si="0"/>
        <v>0</v>
      </c>
      <c r="F18" s="5"/>
    </row>
    <row r="19" spans="1:6" ht="14.25">
      <c r="A19" s="5">
        <v>15</v>
      </c>
      <c r="B19" s="5"/>
      <c r="C19" s="5"/>
      <c r="D19" s="5">
        <f>'镇墩转弯处水头'!D19</f>
        <v>447.2379708767776</v>
      </c>
      <c r="E19" s="5">
        <f t="shared" si="0"/>
        <v>0</v>
      </c>
      <c r="F19" s="5"/>
    </row>
    <row r="20" spans="1:6" ht="14.25">
      <c r="A20" s="5">
        <v>16</v>
      </c>
      <c r="B20" s="5"/>
      <c r="C20" s="5"/>
      <c r="D20" s="5">
        <f>'镇墩转弯处水头'!D20</f>
        <v>469.7133502732329</v>
      </c>
      <c r="E20" s="5">
        <f t="shared" si="0"/>
        <v>0</v>
      </c>
      <c r="F20" s="5"/>
    </row>
    <row r="21" spans="1:6" ht="14.25">
      <c r="A21" s="5">
        <v>17</v>
      </c>
      <c r="B21" s="5"/>
      <c r="C21" s="5"/>
      <c r="D21" s="5">
        <f>'镇墩转弯处水头'!D21</f>
        <v>521.265132140946</v>
      </c>
      <c r="E21" s="5">
        <f t="shared" si="0"/>
        <v>0</v>
      </c>
      <c r="F21" s="5"/>
    </row>
    <row r="22" spans="1:6" ht="14.25">
      <c r="A22" s="5">
        <v>18</v>
      </c>
      <c r="B22" s="5"/>
      <c r="C22" s="5"/>
      <c r="D22" s="5">
        <f>'镇墩转弯处水头'!D22</f>
        <v>601.8919394022929</v>
      </c>
      <c r="E22" s="5">
        <f t="shared" si="0"/>
        <v>0</v>
      </c>
      <c r="F22" s="5"/>
    </row>
    <row r="23" spans="1:6" ht="14.25">
      <c r="A23" s="5">
        <v>19</v>
      </c>
      <c r="B23" s="5"/>
      <c r="C23" s="5"/>
      <c r="D23" s="5">
        <f>'镇墩转弯处水头'!D23</f>
        <v>623.2025972368613</v>
      </c>
      <c r="E23" s="5">
        <f t="shared" si="0"/>
        <v>0</v>
      </c>
      <c r="F23" s="5"/>
    </row>
    <row r="24" spans="1:6" ht="14.25">
      <c r="A24" s="5">
        <v>20</v>
      </c>
      <c r="B24" s="5"/>
      <c r="C24" s="5"/>
      <c r="D24" s="5">
        <f>'镇墩转弯处水头'!D24</f>
        <v>637.764403071235</v>
      </c>
      <c r="E24" s="5">
        <f t="shared" si="0"/>
        <v>0</v>
      </c>
      <c r="F24" s="5"/>
    </row>
    <row r="25" spans="1:6" ht="14.25">
      <c r="A25" s="5">
        <v>21</v>
      </c>
      <c r="B25" s="5"/>
      <c r="C25" s="5"/>
      <c r="D25" s="5">
        <f>'镇墩转弯处水头'!D25</f>
        <v>669.5133881204495</v>
      </c>
      <c r="E25" s="5">
        <f t="shared" si="0"/>
        <v>0</v>
      </c>
      <c r="F25" s="5"/>
    </row>
    <row r="26" spans="1:6" ht="14.25">
      <c r="A26" s="5">
        <v>22</v>
      </c>
      <c r="B26" s="5"/>
      <c r="C26" s="5"/>
      <c r="D26" s="5">
        <f>'镇墩转弯处水头'!D26</f>
        <v>700.1530339716876</v>
      </c>
      <c r="E26" s="5">
        <f t="shared" si="0"/>
        <v>0</v>
      </c>
      <c r="F26" s="5"/>
    </row>
    <row r="27" spans="1:6" ht="14.25">
      <c r="A27" s="5">
        <v>23</v>
      </c>
      <c r="B27" s="5"/>
      <c r="C27" s="5"/>
      <c r="D27" s="5">
        <f>'镇墩转弯处水头'!D27</f>
        <v>736.3416518672266</v>
      </c>
      <c r="E27" s="5">
        <f t="shared" si="0"/>
        <v>0</v>
      </c>
      <c r="F27" s="5"/>
    </row>
    <row r="28" spans="1:6" ht="14.25">
      <c r="A28" s="5">
        <v>24</v>
      </c>
      <c r="B28" s="5"/>
      <c r="C28" s="5"/>
      <c r="D28" s="5">
        <f>'镇墩转弯处水头'!D28</f>
        <v>788.9728712318994</v>
      </c>
      <c r="E28" s="5">
        <f t="shared" si="0"/>
        <v>0</v>
      </c>
      <c r="F28" s="5"/>
    </row>
    <row r="29" spans="1:6" ht="14.25">
      <c r="A29" s="5">
        <v>25</v>
      </c>
      <c r="B29" s="5">
        <v>0</v>
      </c>
      <c r="C29" s="5">
        <v>0</v>
      </c>
      <c r="D29" s="5">
        <f>'镇墩转弯处水头'!D29</f>
        <v>836.8096972384828</v>
      </c>
      <c r="E29" s="5">
        <f t="shared" si="0"/>
        <v>0</v>
      </c>
      <c r="F29" s="5"/>
    </row>
    <row r="30" spans="1:6" ht="14.25">
      <c r="A30" s="5">
        <v>26</v>
      </c>
      <c r="B30" s="5">
        <v>0</v>
      </c>
      <c r="C30" s="5">
        <v>0</v>
      </c>
      <c r="D30" s="5">
        <f>'镇墩转弯处水头'!D30</f>
        <v>877.0149189382023</v>
      </c>
      <c r="E30" s="5">
        <f t="shared" si="0"/>
        <v>0</v>
      </c>
      <c r="F30" s="5"/>
    </row>
    <row r="31" spans="1:6" ht="14.25">
      <c r="A31" s="5">
        <v>27</v>
      </c>
      <c r="B31" s="5">
        <v>0</v>
      </c>
      <c r="C31" s="5">
        <v>0</v>
      </c>
      <c r="D31" s="5">
        <f>'镇墩转弯处水头'!D31</f>
        <v>915.5756381974736</v>
      </c>
      <c r="E31" s="5">
        <f t="shared" si="0"/>
        <v>0</v>
      </c>
      <c r="F31" s="40"/>
    </row>
    <row r="32" spans="1:6" ht="14.25">
      <c r="A32" s="5">
        <v>28</v>
      </c>
      <c r="B32" s="5">
        <v>0.6</v>
      </c>
      <c r="C32" s="5">
        <v>0.3</v>
      </c>
      <c r="D32" s="5">
        <f>'镇墩转弯处水头'!D32</f>
        <v>954.9870000000001</v>
      </c>
      <c r="E32" s="5">
        <f t="shared" si="0"/>
        <v>1985.6371425165005</v>
      </c>
      <c r="F32" s="40"/>
    </row>
    <row r="33" spans="1:6" ht="14.25">
      <c r="A33" s="40" t="s">
        <v>185</v>
      </c>
      <c r="B33" s="41">
        <v>0.6</v>
      </c>
      <c r="C33" s="41">
        <v>0.3</v>
      </c>
      <c r="D33" s="5">
        <f>'镇墩转弯处水头'!D33</f>
        <v>954.9870000000001</v>
      </c>
      <c r="E33" s="5">
        <f t="shared" si="0"/>
        <v>1985.6371425165005</v>
      </c>
      <c r="F33" s="40"/>
    </row>
    <row r="34" spans="1:6" ht="14.25">
      <c r="A34" s="39">
        <v>29</v>
      </c>
      <c r="B34" s="39">
        <v>0.3</v>
      </c>
      <c r="C34" s="39">
        <v>0.3</v>
      </c>
      <c r="D34" s="5">
        <f>'镇墩转弯处水头'!D34</f>
        <v>955.2913861907928</v>
      </c>
      <c r="E34" s="5">
        <f t="shared" si="0"/>
        <v>0</v>
      </c>
      <c r="F34" s="40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3">
      <selection activeCell="F33" sqref="F33:F34"/>
    </sheetView>
  </sheetViews>
  <sheetFormatPr defaultColWidth="9.00390625" defaultRowHeight="14.25"/>
  <cols>
    <col min="2" max="5" width="9.125" style="0" bestFit="1" customWidth="1"/>
    <col min="6" max="6" width="9.50390625" style="0" bestFit="1" customWidth="1"/>
    <col min="7" max="7" width="10.50390625" style="0" bestFit="1" customWidth="1"/>
  </cols>
  <sheetData>
    <row r="1" spans="1:7" ht="15.75">
      <c r="A1" s="60" t="s">
        <v>63</v>
      </c>
      <c r="B1" s="60"/>
      <c r="C1" s="60"/>
      <c r="D1" s="60"/>
      <c r="E1" s="60"/>
      <c r="F1" s="60"/>
      <c r="G1" s="60"/>
    </row>
    <row r="2" spans="1:7" ht="18.75">
      <c r="A2" s="10" t="s">
        <v>1</v>
      </c>
      <c r="B2" s="11" t="s">
        <v>64</v>
      </c>
      <c r="C2" s="11" t="s">
        <v>65</v>
      </c>
      <c r="D2" s="11" t="s">
        <v>66</v>
      </c>
      <c r="E2" s="11" t="s">
        <v>67</v>
      </c>
      <c r="F2" s="11" t="s">
        <v>68</v>
      </c>
      <c r="G2" s="11" t="s">
        <v>69</v>
      </c>
    </row>
    <row r="3" spans="1:8" ht="14.25">
      <c r="A3" s="10">
        <v>0</v>
      </c>
      <c r="B3" s="14">
        <f>'A3计算'!B3</f>
        <v>0.6</v>
      </c>
      <c r="C3" s="14">
        <v>0.8</v>
      </c>
      <c r="D3" s="14">
        <v>0.2</v>
      </c>
      <c r="E3" s="14">
        <f>'各镇墩钢管上下游转弯处及伸缩处水头计算'!J3</f>
        <v>9.704547242076892</v>
      </c>
      <c r="F3" s="14">
        <v>0</v>
      </c>
      <c r="G3" s="14">
        <f>-3.14*B3*C3*D3*9.81*E3</f>
        <v>-28.69757284959277</v>
      </c>
      <c r="H3" s="13"/>
    </row>
    <row r="4" spans="1:8" ht="14.25">
      <c r="A4" s="10">
        <v>1</v>
      </c>
      <c r="B4" s="14">
        <f>'A3计算'!B4</f>
        <v>0.6</v>
      </c>
      <c r="C4" s="14">
        <v>0.8</v>
      </c>
      <c r="D4" s="14">
        <v>0.2</v>
      </c>
      <c r="E4" s="14">
        <f>'各镇墩钢管上下游转弯处及伸缩处水头计算'!J4</f>
        <v>21.407544211466206</v>
      </c>
      <c r="F4" s="14">
        <f>3.14*B4*C4*D4*9.81*E3</f>
        <v>28.69757284959277</v>
      </c>
      <c r="G4" s="14">
        <f aca="true" t="shared" si="0" ref="G4:G34">-3.14*B4*C4*D4*9.81*E4</f>
        <v>-63.30481414689391</v>
      </c>
      <c r="H4" s="13"/>
    </row>
    <row r="5" spans="1:8" ht="15.75">
      <c r="A5" s="11" t="s">
        <v>158</v>
      </c>
      <c r="B5" s="14">
        <f>'A3计算'!B5</f>
        <v>0.6</v>
      </c>
      <c r="C5" s="14">
        <v>0.8</v>
      </c>
      <c r="D5" s="14">
        <v>0.2</v>
      </c>
      <c r="E5" s="14">
        <f>'各镇墩钢管上下游转弯处及伸缩处水头计算'!J5</f>
        <v>30.67237158032444</v>
      </c>
      <c r="F5" s="14">
        <f aca="true" t="shared" si="1" ref="F5:F34">3.14*B5*C5*D5*9.81*E4</f>
        <v>63.30481414689391</v>
      </c>
      <c r="G5" s="14">
        <f t="shared" si="0"/>
        <v>-90.70207975078714</v>
      </c>
      <c r="H5" s="13"/>
    </row>
    <row r="6" spans="1:8" ht="14.25">
      <c r="A6" s="10">
        <v>2</v>
      </c>
      <c r="B6" s="14">
        <f>'A3计算'!B6</f>
        <v>0.6</v>
      </c>
      <c r="C6" s="14">
        <v>0.8</v>
      </c>
      <c r="D6" s="14">
        <v>0.2</v>
      </c>
      <c r="E6" s="14">
        <f>'各镇墩钢管上下游转弯处及伸缩处水头计算'!J6</f>
        <v>50.508679351301296</v>
      </c>
      <c r="F6" s="14">
        <f t="shared" si="1"/>
        <v>90.70207975078714</v>
      </c>
      <c r="G6" s="14">
        <f t="shared" si="0"/>
        <v>-149.36054913886795</v>
      </c>
      <c r="H6" s="13"/>
    </row>
    <row r="7" spans="1:8" ht="14.25">
      <c r="A7" s="10">
        <v>3</v>
      </c>
      <c r="B7" s="14">
        <f>'A3计算'!B7</f>
        <v>0.6</v>
      </c>
      <c r="C7" s="14">
        <v>0.8</v>
      </c>
      <c r="D7" s="14">
        <v>0.2</v>
      </c>
      <c r="E7" s="14">
        <f>'各镇墩钢管上下游转弯处及伸缩处水头计算'!J7</f>
        <v>76.20178426279044</v>
      </c>
      <c r="F7" s="14">
        <f t="shared" si="1"/>
        <v>149.36054913886795</v>
      </c>
      <c r="G7" s="14">
        <f t="shared" si="0"/>
        <v>-225.3383079706022</v>
      </c>
      <c r="H7" s="13"/>
    </row>
    <row r="8" spans="1:8" ht="14.25">
      <c r="A8" s="10">
        <v>4</v>
      </c>
      <c r="B8" s="14">
        <f>'A3计算'!B8</f>
        <v>0.6</v>
      </c>
      <c r="C8" s="14">
        <v>0.8</v>
      </c>
      <c r="D8" s="14">
        <v>0.2</v>
      </c>
      <c r="E8" s="14">
        <f>'各镇墩钢管上下游转弯处及伸缩处水头计算'!J8</f>
        <v>85.349068104372</v>
      </c>
      <c r="F8" s="14">
        <f t="shared" si="1"/>
        <v>225.3383079706022</v>
      </c>
      <c r="G8" s="14">
        <f t="shared" si="0"/>
        <v>-252.3879825068364</v>
      </c>
      <c r="H8" s="13"/>
    </row>
    <row r="9" spans="1:8" ht="14.25">
      <c r="A9" s="10">
        <v>5</v>
      </c>
      <c r="B9" s="14">
        <f>'A3计算'!B9</f>
        <v>0.6</v>
      </c>
      <c r="C9" s="14">
        <v>0.8</v>
      </c>
      <c r="D9" s="14">
        <v>0.2</v>
      </c>
      <c r="E9" s="14">
        <f>'各镇墩钢管上下游转弯处及伸缩处水头计算'!J9</f>
        <v>92.53766882702347</v>
      </c>
      <c r="F9" s="14">
        <f t="shared" si="1"/>
        <v>252.3879825068364</v>
      </c>
      <c r="G9" s="14">
        <f t="shared" si="0"/>
        <v>-273.64558348284817</v>
      </c>
      <c r="H9" s="13"/>
    </row>
    <row r="10" spans="1:8" ht="14.25">
      <c r="A10" s="10">
        <v>6</v>
      </c>
      <c r="B10" s="14">
        <f>'A3计算'!B10</f>
        <v>0.6</v>
      </c>
      <c r="C10" s="14">
        <v>0.8</v>
      </c>
      <c r="D10" s="14">
        <v>0.2</v>
      </c>
      <c r="E10" s="14">
        <f>'各镇墩钢管上下游转弯处及伸缩处水头计算'!J10</f>
        <v>120.18846339076629</v>
      </c>
      <c r="F10" s="14">
        <f t="shared" si="1"/>
        <v>273.64558348284817</v>
      </c>
      <c r="G10" s="14">
        <f t="shared" si="0"/>
        <v>-355.41247806826857</v>
      </c>
      <c r="H10" s="13"/>
    </row>
    <row r="11" spans="1:8" ht="14.25">
      <c r="A11" s="10">
        <v>7</v>
      </c>
      <c r="B11" s="14">
        <f>'A3计算'!B11</f>
        <v>0.6</v>
      </c>
      <c r="C11" s="14">
        <v>0.8</v>
      </c>
      <c r="D11" s="14">
        <v>0.2</v>
      </c>
      <c r="E11" s="14">
        <f>'各镇墩钢管上下游转弯处及伸缩处水头计算'!J11</f>
        <v>137.10195414218782</v>
      </c>
      <c r="F11" s="14">
        <f t="shared" si="1"/>
        <v>355.41247806826857</v>
      </c>
      <c r="G11" s="14">
        <f t="shared" si="0"/>
        <v>-405.427808085453</v>
      </c>
      <c r="H11" s="13"/>
    </row>
    <row r="12" spans="1:8" ht="14.25">
      <c r="A12" s="10">
        <v>8</v>
      </c>
      <c r="B12" s="14">
        <f>'A3计算'!B12</f>
        <v>0.6</v>
      </c>
      <c r="C12" s="14">
        <v>0.8</v>
      </c>
      <c r="D12" s="14">
        <v>0.2</v>
      </c>
      <c r="E12" s="14">
        <f>'各镇墩钢管上下游转弯处及伸缩处水头计算'!J12</f>
        <v>151.83457000978257</v>
      </c>
      <c r="F12" s="14">
        <f t="shared" si="1"/>
        <v>405.427808085453</v>
      </c>
      <c r="G12" s="14">
        <f t="shared" si="0"/>
        <v>-448.99401540857633</v>
      </c>
      <c r="H12" s="13"/>
    </row>
    <row r="13" spans="1:8" ht="14.25">
      <c r="A13" s="10">
        <v>9</v>
      </c>
      <c r="B13" s="14">
        <f>'A3计算'!B13</f>
        <v>0.6</v>
      </c>
      <c r="C13" s="14">
        <v>0.8</v>
      </c>
      <c r="D13" s="14">
        <v>0.2</v>
      </c>
      <c r="E13" s="14">
        <f>'各镇墩钢管上下游转弯处及伸缩处水头计算'!J13</f>
        <v>162.21427962232005</v>
      </c>
      <c r="F13" s="14">
        <f t="shared" si="1"/>
        <v>448.99401540857633</v>
      </c>
      <c r="G13" s="14">
        <f t="shared" si="0"/>
        <v>-479.6881287281447</v>
      </c>
      <c r="H13" s="13"/>
    </row>
    <row r="14" spans="1:8" ht="14.25">
      <c r="A14" s="10">
        <v>10</v>
      </c>
      <c r="B14" s="14">
        <f>'A3计算'!B14</f>
        <v>0.6</v>
      </c>
      <c r="C14" s="14">
        <v>0.8</v>
      </c>
      <c r="D14" s="14">
        <v>0.2</v>
      </c>
      <c r="E14" s="14">
        <f>'各镇墩钢管上下游转弯处及伸缩处水头计算'!J14</f>
        <v>193.52295228679205</v>
      </c>
      <c r="F14" s="14">
        <f t="shared" si="1"/>
        <v>479.6881287281447</v>
      </c>
      <c r="G14" s="14">
        <f t="shared" si="0"/>
        <v>-572.2718312132132</v>
      </c>
      <c r="H14" s="13"/>
    </row>
    <row r="15" spans="1:8" ht="14.25">
      <c r="A15" s="10">
        <v>11</v>
      </c>
      <c r="B15" s="14">
        <f>'A3计算'!B15</f>
        <v>0.6</v>
      </c>
      <c r="C15" s="14">
        <v>0.8</v>
      </c>
      <c r="D15" s="14">
        <v>0.2</v>
      </c>
      <c r="E15" s="14">
        <f>'各镇墩钢管上下游转弯处及伸缩处水头计算'!J15</f>
        <v>247.36750186620904</v>
      </c>
      <c r="F15" s="14">
        <f t="shared" si="1"/>
        <v>572.2718312132132</v>
      </c>
      <c r="G15" s="14">
        <f t="shared" si="0"/>
        <v>-731.4969702706161</v>
      </c>
      <c r="H15" s="13"/>
    </row>
    <row r="16" spans="1:8" ht="14.25">
      <c r="A16" s="10">
        <v>12</v>
      </c>
      <c r="B16" s="14">
        <f>'A3计算'!B16</f>
        <v>0.6</v>
      </c>
      <c r="C16" s="14">
        <v>0.8</v>
      </c>
      <c r="D16" s="14">
        <v>0.2</v>
      </c>
      <c r="E16" s="14">
        <f>'各镇墩钢管上下游转弯处及伸缩处水头计算'!J16</f>
        <v>305.93013625683034</v>
      </c>
      <c r="F16" s="14">
        <f t="shared" si="1"/>
        <v>731.4969702706161</v>
      </c>
      <c r="G16" s="14">
        <f t="shared" si="0"/>
        <v>-904.6740824806703</v>
      </c>
      <c r="H16" s="13"/>
    </row>
    <row r="17" spans="1:8" ht="14.25">
      <c r="A17" s="10">
        <v>13</v>
      </c>
      <c r="B17" s="14">
        <f>'A3计算'!B17</f>
        <v>0.6</v>
      </c>
      <c r="C17" s="14">
        <v>0.8</v>
      </c>
      <c r="D17" s="14">
        <v>0.2</v>
      </c>
      <c r="E17" s="14">
        <f>'各镇墩钢管上下游转弯处及伸缩处水头计算'!J17</f>
        <v>348.5571624989842</v>
      </c>
      <c r="F17" s="14">
        <f t="shared" si="1"/>
        <v>904.6740824806703</v>
      </c>
      <c r="G17" s="14">
        <f t="shared" si="0"/>
        <v>-1030.7275871348363</v>
      </c>
      <c r="H17" s="13"/>
    </row>
    <row r="18" spans="1:8" ht="14.25">
      <c r="A18" s="10">
        <v>14</v>
      </c>
      <c r="B18" s="14">
        <f>'A3计算'!B18</f>
        <v>0.6</v>
      </c>
      <c r="C18" s="14">
        <v>0.8</v>
      </c>
      <c r="D18" s="14">
        <v>0.2</v>
      </c>
      <c r="E18" s="14">
        <f>'各镇墩钢管上下游转弯处及伸缩处水头计算'!J18</f>
        <v>402.3967370593483</v>
      </c>
      <c r="F18" s="14">
        <f t="shared" si="1"/>
        <v>1030.7275871348363</v>
      </c>
      <c r="G18" s="14">
        <f t="shared" si="0"/>
        <v>-1189.9380144320573</v>
      </c>
      <c r="H18" s="13"/>
    </row>
    <row r="19" spans="1:8" ht="14.25">
      <c r="A19" s="10">
        <v>15</v>
      </c>
      <c r="B19" s="14">
        <f>'A3计算'!B19</f>
        <v>0.6</v>
      </c>
      <c r="C19" s="14">
        <v>0.8</v>
      </c>
      <c r="D19" s="14">
        <v>0.2</v>
      </c>
      <c r="E19" s="14">
        <f>'各镇墩钢管上下游转弯处及伸缩处水头计算'!J19</f>
        <v>447.6751973614564</v>
      </c>
      <c r="F19" s="14">
        <f t="shared" si="1"/>
        <v>1189.9380144320573</v>
      </c>
      <c r="G19" s="14">
        <f t="shared" si="0"/>
        <v>-1323.8321447427734</v>
      </c>
      <c r="H19" s="13"/>
    </row>
    <row r="20" spans="1:8" ht="14.25">
      <c r="A20" s="10">
        <v>16</v>
      </c>
      <c r="B20" s="14">
        <f>'A3计算'!B20</f>
        <v>0.6</v>
      </c>
      <c r="C20" s="14">
        <v>0.8</v>
      </c>
      <c r="D20" s="14">
        <v>0.2</v>
      </c>
      <c r="E20" s="14">
        <f>'各镇墩钢管上下游转弯处及伸缩处水头计算'!J20</f>
        <v>470.69199768982054</v>
      </c>
      <c r="F20" s="14">
        <f t="shared" si="1"/>
        <v>1323.8321447427734</v>
      </c>
      <c r="G20" s="14">
        <f t="shared" si="0"/>
        <v>-1391.8957326373074</v>
      </c>
      <c r="H20" s="13"/>
    </row>
    <row r="21" spans="1:8" ht="14.25">
      <c r="A21" s="10">
        <v>17</v>
      </c>
      <c r="B21" s="14">
        <f>'A3计算'!B21</f>
        <v>0.6</v>
      </c>
      <c r="C21" s="14">
        <v>0.8</v>
      </c>
      <c r="D21" s="14">
        <v>0.2</v>
      </c>
      <c r="E21" s="14">
        <f>'各镇墩钢管上下游转弯处及伸缩处水头计算'!J21</f>
        <v>522.4171740219799</v>
      </c>
      <c r="F21" s="14">
        <f t="shared" si="1"/>
        <v>1391.8957326373074</v>
      </c>
      <c r="G21" s="14">
        <f t="shared" si="0"/>
        <v>-1544.8536171137912</v>
      </c>
      <c r="H21" s="13"/>
    </row>
    <row r="22" spans="1:8" ht="14.25">
      <c r="A22" s="10">
        <v>18</v>
      </c>
      <c r="B22" s="14">
        <f>'A3计算'!B22</f>
        <v>0.6</v>
      </c>
      <c r="C22" s="14">
        <v>0.8</v>
      </c>
      <c r="D22" s="14">
        <v>0.2</v>
      </c>
      <c r="E22" s="14">
        <f>'各镇墩钢管上下游转弯处及伸缩处水头计算'!J22</f>
        <v>602.2205955333241</v>
      </c>
      <c r="F22" s="14">
        <f t="shared" si="1"/>
        <v>1544.8536171137912</v>
      </c>
      <c r="G22" s="14">
        <f t="shared" si="0"/>
        <v>-1780.8424216753149</v>
      </c>
      <c r="H22" s="13"/>
    </row>
    <row r="23" spans="1:8" ht="14.25">
      <c r="A23" s="10">
        <v>19</v>
      </c>
      <c r="B23" s="14">
        <f>'A3计算'!B23</f>
        <v>0.6</v>
      </c>
      <c r="C23" s="14">
        <v>0.8</v>
      </c>
      <c r="D23" s="14">
        <v>0.2</v>
      </c>
      <c r="E23" s="14">
        <f>'各镇墩钢管上下游转弯处及伸缩处水头计算'!J23</f>
        <v>623.3932541720983</v>
      </c>
      <c r="F23" s="14">
        <f t="shared" si="1"/>
        <v>1780.8424216753149</v>
      </c>
      <c r="G23" s="14">
        <f t="shared" si="0"/>
        <v>-1843.4526494942222</v>
      </c>
      <c r="H23" s="13"/>
    </row>
    <row r="24" spans="1:8" ht="14.25">
      <c r="A24" s="10">
        <v>20</v>
      </c>
      <c r="B24" s="14">
        <f>'A3计算'!B24</f>
        <v>0.6</v>
      </c>
      <c r="C24" s="14">
        <v>0.8</v>
      </c>
      <c r="D24" s="14">
        <v>0.2</v>
      </c>
      <c r="E24" s="14">
        <f>'各镇墩钢管上下游转弯处及伸缩处水头计算'!J24</f>
        <v>638.2250204519463</v>
      </c>
      <c r="F24" s="14">
        <f t="shared" si="1"/>
        <v>1843.4526494942222</v>
      </c>
      <c r="G24" s="14">
        <f t="shared" si="0"/>
        <v>-1887.3120571189907</v>
      </c>
      <c r="H24" s="13"/>
    </row>
    <row r="25" spans="1:8" ht="14.25">
      <c r="A25" s="10">
        <v>21</v>
      </c>
      <c r="B25" s="14">
        <f>'A3计算'!B25</f>
        <v>0.6</v>
      </c>
      <c r="C25" s="14">
        <v>0.8</v>
      </c>
      <c r="D25" s="14">
        <v>0.2</v>
      </c>
      <c r="E25" s="14">
        <f>'各镇墩钢管上下游转弯处及伸缩处水头计算'!J25</f>
        <v>670.3426975615002</v>
      </c>
      <c r="F25" s="14">
        <f t="shared" si="1"/>
        <v>1887.3120571189907</v>
      </c>
      <c r="G25" s="14">
        <f t="shared" si="0"/>
        <v>-1982.2880880063283</v>
      </c>
      <c r="H25" s="13"/>
    </row>
    <row r="26" spans="1:8" ht="14.25">
      <c r="A26" s="10">
        <v>22</v>
      </c>
      <c r="B26" s="14">
        <f>'A3计算'!B26</f>
        <v>0.6</v>
      </c>
      <c r="C26" s="14">
        <v>0.8</v>
      </c>
      <c r="D26" s="14">
        <v>0.2</v>
      </c>
      <c r="E26" s="14">
        <f>'各镇墩钢管上下游转弯处及伸缩处水头计算'!J26</f>
        <v>701.0233049932132</v>
      </c>
      <c r="F26" s="14">
        <f t="shared" si="1"/>
        <v>1982.2880880063283</v>
      </c>
      <c r="G26" s="14">
        <f t="shared" si="0"/>
        <v>-2073.0145222106826</v>
      </c>
      <c r="H26" s="13"/>
    </row>
    <row r="27" spans="1:8" ht="14.25">
      <c r="A27" s="10">
        <v>23</v>
      </c>
      <c r="B27" s="14">
        <f>'A3计算'!B27</f>
        <v>0.6</v>
      </c>
      <c r="C27" s="14">
        <v>0.8</v>
      </c>
      <c r="D27" s="14">
        <v>0.2</v>
      </c>
      <c r="E27" s="14">
        <f>'各镇墩钢管上下游转弯处及伸缩处水头计算'!J27</f>
        <v>737.2119228887522</v>
      </c>
      <c r="F27" s="14">
        <f t="shared" si="1"/>
        <v>2073.0145222106826</v>
      </c>
      <c r="G27" s="14">
        <f t="shared" si="0"/>
        <v>-2180.0288395690936</v>
      </c>
      <c r="H27" s="13"/>
    </row>
    <row r="28" spans="1:8" ht="14.25">
      <c r="A28" s="10">
        <v>24</v>
      </c>
      <c r="B28" s="14">
        <f>'A3计算'!B28</f>
        <v>0.6</v>
      </c>
      <c r="C28" s="14">
        <v>0.8</v>
      </c>
      <c r="D28" s="14">
        <v>0.2</v>
      </c>
      <c r="E28" s="14">
        <f>'各镇墩钢管上下游转弯处及伸缩处水头计算'!J28</f>
        <v>789.8755730898499</v>
      </c>
      <c r="F28" s="14">
        <f t="shared" si="1"/>
        <v>2180.0288395690936</v>
      </c>
      <c r="G28" s="14">
        <f t="shared" si="0"/>
        <v>-2335.761909899125</v>
      </c>
      <c r="H28" s="13"/>
    </row>
    <row r="29" spans="1:8" ht="15.75">
      <c r="A29" s="10">
        <v>25</v>
      </c>
      <c r="B29" s="16">
        <v>0.6</v>
      </c>
      <c r="C29" s="14">
        <v>0.8</v>
      </c>
      <c r="D29" s="14">
        <v>0.2</v>
      </c>
      <c r="E29" s="14">
        <f>'各镇墩钢管上下游转弯处及伸缩处水头计算'!J29</f>
        <v>837.5634964676885</v>
      </c>
      <c r="F29" s="14">
        <f t="shared" si="1"/>
        <v>2335.761909899125</v>
      </c>
      <c r="G29" s="14">
        <f t="shared" si="0"/>
        <v>-2476.781127080909</v>
      </c>
      <c r="H29" s="13"/>
    </row>
    <row r="30" spans="1:8" ht="14.25">
      <c r="A30" s="10">
        <v>26</v>
      </c>
      <c r="B30" s="14">
        <f>'A3计算'!B30</f>
        <v>0.6</v>
      </c>
      <c r="C30" s="14">
        <v>0.8</v>
      </c>
      <c r="D30" s="14">
        <v>0.2</v>
      </c>
      <c r="E30" s="14">
        <f>'各镇墩钢管上下游转弯处及伸缩处水头计算'!J30</f>
        <v>877.6424638741528</v>
      </c>
      <c r="F30" s="14">
        <f t="shared" si="1"/>
        <v>2476.781127080909</v>
      </c>
      <c r="G30" s="14">
        <f t="shared" si="0"/>
        <v>-2595.299699683304</v>
      </c>
      <c r="H30" s="13"/>
    </row>
    <row r="31" spans="1:7" ht="14.25">
      <c r="A31" s="10">
        <v>27</v>
      </c>
      <c r="B31" s="14">
        <f>'A3计算'!B31</f>
        <v>0.6</v>
      </c>
      <c r="C31" s="14">
        <v>0.8</v>
      </c>
      <c r="D31" s="14">
        <v>0.2</v>
      </c>
      <c r="E31" s="14">
        <f>'各镇墩钢管上下游转弯处及伸缩处水头计算'!J31</f>
        <v>916.5734554091912</v>
      </c>
      <c r="F31" s="14">
        <f t="shared" si="1"/>
        <v>2595.299699683304</v>
      </c>
      <c r="G31" s="14">
        <f t="shared" si="0"/>
        <v>-2710.4235625297424</v>
      </c>
    </row>
    <row r="32" spans="1:7" ht="14.25">
      <c r="A32" s="10">
        <v>28</v>
      </c>
      <c r="B32" s="14">
        <f>'A3计算'!B32</f>
        <v>0.3</v>
      </c>
      <c r="C32" s="14">
        <v>0.8</v>
      </c>
      <c r="D32" s="14">
        <v>0.2</v>
      </c>
      <c r="E32" s="14">
        <f>'各镇墩钢管上下游转弯处及伸缩处水头计算'!J32</f>
        <v>954.9870000000001</v>
      </c>
      <c r="F32" s="14">
        <f t="shared" si="1"/>
        <v>1355.2117812648712</v>
      </c>
      <c r="G32" s="14">
        <f t="shared" si="0"/>
        <v>-1412.0086346784003</v>
      </c>
    </row>
    <row r="33" spans="1:7" ht="14.25">
      <c r="A33" t="s">
        <v>185</v>
      </c>
      <c r="B33">
        <v>0.3</v>
      </c>
      <c r="C33" s="14">
        <v>0.8</v>
      </c>
      <c r="D33" s="14">
        <v>0.2</v>
      </c>
      <c r="E33" s="14">
        <f>'各镇墩钢管上下游转弯处及伸缩处水头计算'!J33</f>
        <v>955.9848172117177</v>
      </c>
      <c r="F33" s="14">
        <f t="shared" si="1"/>
        <v>1412.0086346784003</v>
      </c>
      <c r="G33" s="14">
        <f t="shared" si="0"/>
        <v>-1413.4839704879726</v>
      </c>
    </row>
    <row r="34" spans="1:7" ht="14.25">
      <c r="A34" s="43">
        <v>29</v>
      </c>
      <c r="B34">
        <v>0.3</v>
      </c>
      <c r="C34" s="14">
        <v>0.8</v>
      </c>
      <c r="D34" s="14">
        <v>0.2</v>
      </c>
      <c r="E34" s="14">
        <f>'各镇墩钢管上下游转弯处及伸缩处水头计算'!J34</f>
        <v>955.2913861907928</v>
      </c>
      <c r="F34" s="14">
        <f t="shared" si="1"/>
        <v>1413.4839704879726</v>
      </c>
      <c r="G34" s="14">
        <f t="shared" si="0"/>
        <v>-1412.4586888986946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</dc:creator>
  <cp:keywords/>
  <dc:description/>
  <cp:lastModifiedBy>RainF916</cp:lastModifiedBy>
  <cp:lastPrinted>2005-08-27T02:18:24Z</cp:lastPrinted>
  <dcterms:created xsi:type="dcterms:W3CDTF">2004-10-09T13:17:20Z</dcterms:created>
  <dcterms:modified xsi:type="dcterms:W3CDTF">2005-09-02T02:13:58Z</dcterms:modified>
  <cp:category/>
  <cp:version/>
  <cp:contentType/>
  <cp:contentStatus/>
</cp:coreProperties>
</file>