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2390" windowHeight="9315" activeTab="3"/>
  </bookViews>
  <sheets>
    <sheet name="钢模" sheetId="1" r:id="rId1"/>
    <sheet name="木模" sheetId="2" r:id="rId2"/>
    <sheet name="木模 1" sheetId="3" r:id="rId3"/>
    <sheet name="木模 2" sheetId="4" r:id="rId4"/>
    <sheet name="参数" sheetId="5" r:id="rId5"/>
  </sheets>
  <definedNames/>
  <calcPr fullCalcOnLoad="1"/>
</workbook>
</file>

<file path=xl/sharedStrings.xml><?xml version="1.0" encoding="utf-8"?>
<sst xmlns="http://schemas.openxmlformats.org/spreadsheetml/2006/main" count="519" uniqueCount="298">
  <si>
    <r>
      <t>楼板长度</t>
    </r>
    <r>
      <rPr>
        <sz val="12"/>
        <rFont val="Times New Roman"/>
        <family val="1"/>
      </rPr>
      <t>a(m)</t>
    </r>
  </si>
  <si>
    <r>
      <t>截面积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</si>
  <si>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截面惯性矩</t>
    </r>
    <r>
      <rPr>
        <sz val="12"/>
        <rFont val="Times New Roman"/>
        <family val="1"/>
      </rPr>
      <t>I(mm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</si>
  <si>
    <r>
      <t>钢材的弹性模量</t>
    </r>
    <r>
      <rPr>
        <sz val="12"/>
        <rFont val="Times New Roman"/>
        <family val="1"/>
      </rPr>
      <t>E(N/mm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</si>
  <si>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振捣混凝土时荷载标准值：</t>
    </r>
  </si>
  <si>
    <t>对水平面模板可采用：</t>
  </si>
  <si>
    <t>对垂直面模板可采用：</t>
  </si>
  <si>
    <t>钢模折减系数：</t>
  </si>
  <si>
    <t>木模折减系数：</t>
  </si>
  <si>
    <t>厚度h(m)</t>
  </si>
  <si>
    <r>
      <t>φ</t>
    </r>
    <r>
      <rPr>
        <sz val="12"/>
        <rFont val="Times New Roman"/>
        <family val="1"/>
      </rPr>
      <t>48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3.5</t>
    </r>
    <r>
      <rPr>
        <sz val="12"/>
        <rFont val="宋体"/>
        <family val="0"/>
      </rPr>
      <t>钢管</t>
    </r>
  </si>
  <si>
    <r>
      <t>kN/m</t>
    </r>
    <r>
      <rPr>
        <vertAlign val="superscript"/>
        <sz val="12"/>
        <rFont val="宋体"/>
        <family val="0"/>
      </rPr>
      <t>2</t>
    </r>
  </si>
  <si>
    <t>一、假定条件及有关参数取值</t>
  </si>
  <si>
    <r>
      <t>宽度</t>
    </r>
    <r>
      <rPr>
        <sz val="12"/>
        <rFont val="Times New Roman"/>
        <family val="1"/>
      </rPr>
      <t>b(m)</t>
    </r>
  </si>
  <si>
    <r>
      <t>横杆步距</t>
    </r>
    <r>
      <rPr>
        <sz val="12"/>
        <rFont val="Times New Roman"/>
        <family val="1"/>
      </rPr>
      <t>(mm)</t>
    </r>
  </si>
  <si>
    <t>模板形式</t>
  </si>
  <si>
    <t>荷载折减系数k为：</t>
  </si>
  <si>
    <t>钢模</t>
  </si>
  <si>
    <t>钢楞采用：</t>
  </si>
  <si>
    <t>二、计算</t>
  </si>
  <si>
    <t>①</t>
  </si>
  <si>
    <t>底模自重</t>
  </si>
  <si>
    <t>②</t>
  </si>
  <si>
    <t>混凝土自重</t>
  </si>
  <si>
    <t>③</t>
  </si>
  <si>
    <t>钢筋重量</t>
  </si>
  <si>
    <t>④</t>
  </si>
  <si>
    <t>线荷载为：</t>
  </si>
  <si>
    <r>
      <t>q</t>
    </r>
    <r>
      <rPr>
        <vertAlign val="subscript"/>
        <sz val="14"/>
        <rFont val="宋体"/>
        <family val="0"/>
      </rPr>
      <t>1</t>
    </r>
    <r>
      <rPr>
        <sz val="12"/>
        <rFont val="宋体"/>
        <family val="0"/>
      </rPr>
      <t>=k×(①+②+③+④)=</t>
    </r>
  </si>
  <si>
    <r>
      <t>(</t>
    </r>
    <r>
      <rPr>
        <sz val="12"/>
        <rFont val="宋体"/>
        <family val="0"/>
      </rPr>
      <t>用于强度验算)</t>
    </r>
  </si>
  <si>
    <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=k×(①+②+③)=</t>
    </r>
  </si>
  <si>
    <r>
      <t>(</t>
    </r>
    <r>
      <rPr>
        <sz val="12"/>
        <rFont val="宋体"/>
        <family val="0"/>
      </rPr>
      <t>用于挠度验算)</t>
    </r>
  </si>
  <si>
    <r>
      <t>24×h</t>
    </r>
    <r>
      <rPr>
        <sz val="12"/>
        <rFont val="宋体"/>
        <family val="0"/>
      </rPr>
      <t>×1.2=</t>
    </r>
  </si>
  <si>
    <r>
      <t>0</t>
    </r>
    <r>
      <rPr>
        <sz val="12"/>
        <rFont val="宋体"/>
        <family val="0"/>
      </rPr>
      <t>.75</t>
    </r>
    <r>
      <rPr>
        <sz val="12"/>
        <rFont val="宋体"/>
        <family val="0"/>
      </rPr>
      <t>×1.2=</t>
    </r>
  </si>
  <si>
    <r>
      <t>小楞间距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内</t>
    </r>
    <r>
      <rPr>
        <sz val="12"/>
        <rFont val="Times New Roman"/>
        <family val="1"/>
      </rPr>
      <t>) l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(m)</t>
    </r>
  </si>
  <si>
    <t>小楞根数n</t>
  </si>
  <si>
    <r>
      <t>大楞间距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横向</t>
    </r>
    <r>
      <rPr>
        <sz val="12"/>
        <rFont val="Times New Roman"/>
        <family val="1"/>
      </rPr>
      <t>) 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(mm)</t>
    </r>
  </si>
  <si>
    <r>
      <t>大楞间距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纵向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(mm)</t>
    </r>
  </si>
  <si>
    <t>1、荷载计算</t>
  </si>
  <si>
    <t>2、小楞验算（按三跨连续梁计算）</t>
  </si>
  <si>
    <t>计算简图</t>
  </si>
  <si>
    <r>
      <t>kN/m</t>
    </r>
    <r>
      <rPr>
        <vertAlign val="superscript"/>
        <sz val="12"/>
        <rFont val="宋体"/>
        <family val="0"/>
      </rPr>
      <t>2</t>
    </r>
  </si>
  <si>
    <t>抗弯强度验算：</t>
  </si>
  <si>
    <t>N·mm</t>
  </si>
  <si>
    <r>
      <t>N/mm</t>
    </r>
    <r>
      <rPr>
        <vertAlign val="superscript"/>
        <sz val="12"/>
        <rFont val="宋体"/>
        <family val="0"/>
      </rPr>
      <t>2</t>
    </r>
  </si>
  <si>
    <t>≤</t>
  </si>
  <si>
    <t>其中：</t>
  </si>
  <si>
    <t>符合要求</t>
  </si>
  <si>
    <t>挠度验算：</t>
  </si>
  <si>
    <t>mm</t>
  </si>
  <si>
    <t>[w]</t>
  </si>
  <si>
    <r>
      <t>[w]</t>
    </r>
    <r>
      <rPr>
        <sz val="12"/>
        <rFont val="宋体"/>
        <family val="0"/>
      </rPr>
      <t>为允许挠度</t>
    </r>
  </si>
  <si>
    <r>
      <t>M=0.10×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</si>
  <si>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σ</t>
    </r>
    <r>
      <rPr>
        <sz val="12"/>
        <rFont val="宋体"/>
        <family val="0"/>
      </rPr>
      <t>=M/W</t>
    </r>
    <r>
      <rPr>
        <sz val="12"/>
        <rFont val="宋体"/>
        <family val="0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</si>
  <si>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</si>
  <si>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r>
      <t>w=0.677×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/100EI</t>
    </r>
    <r>
      <rPr>
        <sz val="12"/>
        <rFont val="宋体"/>
        <family val="0"/>
      </rPr>
      <t>=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</si>
  <si>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/</t>
    </r>
    <r>
      <rPr>
        <sz val="12"/>
        <rFont val="宋体"/>
        <family val="0"/>
      </rPr>
      <t>5</t>
    </r>
    <r>
      <rPr>
        <sz val="12"/>
        <rFont val="宋体"/>
        <family val="0"/>
      </rPr>
      <t>00=</t>
    </r>
  </si>
  <si>
    <t>2、大楞验算（按三跨连续梁计算）</t>
  </si>
  <si>
    <r>
      <t>M=0.10×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</si>
  <si>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w=0.677×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/100EI=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</si>
  <si>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/</t>
    </r>
    <r>
      <rPr>
        <sz val="12"/>
        <rFont val="宋体"/>
        <family val="0"/>
      </rPr>
      <t>5</t>
    </r>
    <r>
      <rPr>
        <sz val="12"/>
        <rFont val="宋体"/>
        <family val="0"/>
      </rPr>
      <t>00=</t>
    </r>
  </si>
  <si>
    <t>N</t>
  </si>
  <si>
    <t>kN</t>
  </si>
  <si>
    <t>一般按立柱的稳定性控制，可按两端铰，按受压弯构件简化计算</t>
  </si>
  <si>
    <t>查建筑施工手册，搭接立杆容许荷载为</t>
  </si>
  <si>
    <r>
      <t>k</t>
    </r>
    <r>
      <rPr>
        <sz val="12"/>
        <rFont val="宋体"/>
        <family val="0"/>
      </rPr>
      <t>N</t>
    </r>
  </si>
  <si>
    <t>符合要求</t>
  </si>
  <si>
    <t>3、钢管立柱验算</t>
  </si>
  <si>
    <r>
      <t>N=q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+N'=</t>
    </r>
  </si>
  <si>
    <r>
      <t>步数n</t>
    </r>
    <r>
      <rPr>
        <vertAlign val="subscript"/>
        <sz val="12"/>
        <rFont val="宋体"/>
        <family val="0"/>
      </rPr>
      <t>0</t>
    </r>
  </si>
  <si>
    <r>
      <t>支模排架自重N'=</t>
    </r>
    <r>
      <rPr>
        <sz val="12"/>
        <rFont val="宋体"/>
        <family val="0"/>
      </rPr>
      <t>(</t>
    </r>
    <r>
      <rPr>
        <sz val="12"/>
        <rFont val="宋体"/>
        <family val="0"/>
      </rPr>
      <t>38.4×</t>
    </r>
    <r>
      <rPr>
        <sz val="12"/>
        <rFont val="宋体"/>
        <family val="0"/>
      </rPr>
      <t>(l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(1+</t>
    </r>
    <r>
      <rPr>
        <sz val="12"/>
        <rFont val="宋体"/>
        <family val="0"/>
      </rPr>
      <t>n</t>
    </r>
    <r>
      <rPr>
        <sz val="12"/>
        <rFont val="宋体"/>
        <family val="0"/>
      </rPr>
      <t>))+15×(2+n))×n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×1.2</t>
    </r>
    <r>
      <rPr>
        <sz val="12"/>
        <rFont val="宋体"/>
        <family val="0"/>
      </rPr>
      <t>=</t>
    </r>
  </si>
  <si>
    <t>2、模板验算（按三跨连续梁计算）</t>
  </si>
  <si>
    <t>4、大楞验算（按三跨连续梁计算）</t>
  </si>
  <si>
    <t>5、钢管立柱验算</t>
  </si>
  <si>
    <t>模板形式</t>
  </si>
  <si>
    <t>夹板+木楞方案</t>
  </si>
  <si>
    <t>模板选用：</t>
  </si>
  <si>
    <t>落叶松胶合板</t>
  </si>
  <si>
    <r>
      <t>夹板厚</t>
    </r>
    <r>
      <rPr>
        <sz val="12"/>
        <rFont val="宋体"/>
        <family val="0"/>
      </rPr>
      <t>度t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(mm)</t>
    </r>
  </si>
  <si>
    <t>内楞木选用：</t>
  </si>
  <si>
    <t>落叶松</t>
  </si>
  <si>
    <r>
      <t>楞木宽度</t>
    </r>
    <r>
      <rPr>
        <sz val="12"/>
        <rFont val="宋体"/>
        <family val="0"/>
      </rPr>
      <t>b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(mm)</t>
    </r>
  </si>
  <si>
    <r>
      <t>楞木高度</t>
    </r>
    <r>
      <rPr>
        <sz val="12"/>
        <rFont val="宋体"/>
        <family val="0"/>
      </rPr>
      <t>t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(mm)</t>
    </r>
  </si>
  <si>
    <r>
      <t>楞木</t>
    </r>
    <r>
      <rPr>
        <sz val="12"/>
        <rFont val="宋体"/>
        <family val="0"/>
      </rPr>
      <t>净</t>
    </r>
    <r>
      <rPr>
        <sz val="12"/>
        <rFont val="宋体"/>
        <family val="0"/>
      </rPr>
      <t>距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(mm)</t>
    </r>
  </si>
  <si>
    <t>外钢楞采用：</t>
  </si>
  <si>
    <r>
      <t>M=0.10×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</t>
    </r>
    <r>
      <rPr>
        <sz val="12"/>
        <rFont val="宋体"/>
        <family val="0"/>
      </rPr>
      <t>1000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</si>
  <si>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4</t>
    </r>
    <r>
      <rPr>
        <sz val="12"/>
        <rFont val="宋体"/>
        <family val="0"/>
      </rPr>
      <t>00=</t>
    </r>
  </si>
  <si>
    <r>
      <t>0</t>
    </r>
    <r>
      <rPr>
        <sz val="12"/>
        <rFont val="宋体"/>
        <family val="0"/>
      </rPr>
      <t>.5</t>
    </r>
    <r>
      <rPr>
        <sz val="12"/>
        <rFont val="宋体"/>
        <family val="0"/>
      </rPr>
      <t>×1.2=</t>
    </r>
  </si>
  <si>
    <r>
      <t>1.</t>
    </r>
    <r>
      <rPr>
        <sz val="12"/>
        <rFont val="宋体"/>
        <family val="0"/>
      </rPr>
      <t>1</t>
    </r>
    <r>
      <rPr>
        <sz val="12"/>
        <rFont val="宋体"/>
        <family val="0"/>
      </rPr>
      <t>×h×1.2=</t>
    </r>
  </si>
  <si>
    <t>3、小楞验算（按简支梁计算）</t>
  </si>
  <si>
    <r>
      <t>M=0.1</t>
    </r>
    <r>
      <rPr>
        <sz val="12"/>
        <rFont val="宋体"/>
        <family val="0"/>
      </rPr>
      <t>25</t>
    </r>
    <r>
      <rPr>
        <sz val="12"/>
        <rFont val="宋体"/>
        <family val="0"/>
      </rPr>
      <t>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</si>
  <si>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楼层净高</t>
    </r>
    <r>
      <rPr>
        <sz val="12"/>
        <rFont val="Times New Roman"/>
        <family val="1"/>
      </rPr>
      <t>H(m)</t>
    </r>
  </si>
  <si>
    <t>施工人员及设备荷载</t>
  </si>
  <si>
    <r>
      <t>2</t>
    </r>
    <r>
      <rPr>
        <sz val="12"/>
        <rFont val="宋体"/>
        <family val="0"/>
      </rPr>
      <t>.5</t>
    </r>
    <r>
      <rPr>
        <sz val="12"/>
        <rFont val="宋体"/>
        <family val="0"/>
      </rPr>
      <t>×1.4=</t>
    </r>
  </si>
  <si>
    <r>
      <t>截面抵抗矩</t>
    </r>
    <r>
      <rPr>
        <sz val="12"/>
        <rFont val="Times New Roman"/>
        <family val="1"/>
      </rPr>
      <t>W(mm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</si>
  <si>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每根立柱承受的荷载N：</t>
  </si>
  <si>
    <r>
      <t>惯性矩I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)</t>
    </r>
  </si>
  <si>
    <r>
      <t>弹性模量E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</si>
  <si>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截面抵抗矩W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</si>
  <si>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r>
      <t>惯性矩I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)</t>
    </r>
  </si>
  <si>
    <r>
      <t>截面抵抗矩W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</si>
  <si>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r>
      <t>木材的弹性模量E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</si>
  <si>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σ=M/W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=</t>
    </r>
  </si>
  <si>
    <r>
      <t>w=0.677×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1000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/100E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=</t>
    </r>
  </si>
  <si>
    <r>
      <t>σ=M/W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</si>
  <si>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r>
      <t>w=</t>
    </r>
    <r>
      <rPr>
        <sz val="12"/>
        <rFont val="宋体"/>
        <family val="0"/>
      </rPr>
      <t>5</t>
    </r>
    <r>
      <rPr>
        <sz val="12"/>
        <rFont val="宋体"/>
        <family val="0"/>
      </rPr>
      <t>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384</t>
    </r>
    <r>
      <rPr>
        <sz val="12"/>
        <rFont val="宋体"/>
        <family val="0"/>
      </rPr>
      <t>E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</si>
  <si>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t>适用范围：</t>
  </si>
  <si>
    <t>适用范围：</t>
  </si>
  <si>
    <t>模板采用钢模，钢楞及立脚为钢管</t>
  </si>
  <si>
    <r>
      <t>模板采用夹板，内楞为</t>
    </r>
    <r>
      <rPr>
        <sz val="12"/>
        <rFont val="宋体"/>
        <family val="0"/>
      </rPr>
      <t>木楞</t>
    </r>
    <r>
      <rPr>
        <sz val="12"/>
        <rFont val="宋体"/>
        <family val="0"/>
      </rPr>
      <t>，外楞及立脚为钢管</t>
    </r>
  </si>
  <si>
    <r>
      <t>[f</t>
    </r>
    <r>
      <rPr>
        <sz val="12"/>
        <rFont val="宋体"/>
        <family val="0"/>
      </rPr>
      <t>]</t>
    </r>
  </si>
  <si>
    <r>
      <t>[f</t>
    </r>
    <r>
      <rPr>
        <sz val="12"/>
        <rFont val="宋体"/>
        <family val="0"/>
      </rPr>
      <t>]</t>
    </r>
    <r>
      <rPr>
        <sz val="12"/>
        <rFont val="宋体"/>
        <family val="0"/>
      </rPr>
      <t xml:space="preserve"> 为钢材抗弯、抗拉强度设计值</t>
    </r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</si>
  <si>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</t>
    </r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</si>
  <si>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 为</t>
    </r>
    <r>
      <rPr>
        <sz val="12"/>
        <rFont val="宋体"/>
        <family val="0"/>
      </rPr>
      <t>夹板</t>
    </r>
    <r>
      <rPr>
        <sz val="12"/>
        <rFont val="宋体"/>
        <family val="0"/>
      </rPr>
      <t>抗弯强度设计值</t>
    </r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</si>
  <si>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 为</t>
    </r>
    <r>
      <rPr>
        <sz val="12"/>
        <rFont val="宋体"/>
        <family val="0"/>
      </rPr>
      <t>木</t>
    </r>
    <r>
      <rPr>
        <sz val="12"/>
        <rFont val="宋体"/>
        <family val="0"/>
      </rPr>
      <t>材抗弯、抗拉强度设计值</t>
    </r>
  </si>
  <si>
    <t>一、假定条件及有关参数取值</t>
  </si>
  <si>
    <r>
      <t>横杆步距</t>
    </r>
    <r>
      <rPr>
        <sz val="12"/>
        <rFont val="Times New Roman"/>
        <family val="1"/>
      </rPr>
      <t>(mm)</t>
    </r>
  </si>
  <si>
    <r>
      <t>步数n</t>
    </r>
    <r>
      <rPr>
        <vertAlign val="subscript"/>
        <sz val="12"/>
        <rFont val="宋体"/>
        <family val="0"/>
      </rPr>
      <t>0</t>
    </r>
  </si>
  <si>
    <t>荷载折减系数k为：</t>
  </si>
  <si>
    <t>模板选用：</t>
  </si>
  <si>
    <t>落叶松胶合板</t>
  </si>
  <si>
    <r>
      <t>夹板厚</t>
    </r>
    <r>
      <rPr>
        <sz val="12"/>
        <rFont val="宋体"/>
        <family val="0"/>
      </rPr>
      <t>度t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(mm)</t>
    </r>
  </si>
  <si>
    <r>
      <t>惯性矩I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)</t>
    </r>
  </si>
  <si>
    <r>
      <t>截面抵抗矩W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</si>
  <si>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r>
      <t>弹性模量E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</si>
  <si>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内楞木选用：</t>
  </si>
  <si>
    <t>落叶松</t>
  </si>
  <si>
    <r>
      <t>楞木宽度</t>
    </r>
    <r>
      <rPr>
        <sz val="12"/>
        <rFont val="宋体"/>
        <family val="0"/>
      </rPr>
      <t>b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(mm)</t>
    </r>
  </si>
  <si>
    <r>
      <t>楞木高度</t>
    </r>
    <r>
      <rPr>
        <sz val="12"/>
        <rFont val="宋体"/>
        <family val="0"/>
      </rPr>
      <t>t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(mm)</t>
    </r>
  </si>
  <si>
    <r>
      <t>木材的弹性模量E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</si>
  <si>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楞木</t>
    </r>
    <r>
      <rPr>
        <sz val="12"/>
        <rFont val="宋体"/>
        <family val="0"/>
      </rPr>
      <t>净</t>
    </r>
    <r>
      <rPr>
        <sz val="12"/>
        <rFont val="宋体"/>
        <family val="0"/>
      </rPr>
      <t>距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(mm)</t>
    </r>
  </si>
  <si>
    <t>小楞根数n</t>
  </si>
  <si>
    <t>外钢楞采用：</t>
  </si>
  <si>
    <r>
      <t>大楞间距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横向</t>
    </r>
    <r>
      <rPr>
        <sz val="12"/>
        <rFont val="Times New Roman"/>
        <family val="1"/>
      </rPr>
      <t>) 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(mm)</t>
    </r>
  </si>
  <si>
    <r>
      <t>大楞间距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纵向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(mm)</t>
    </r>
  </si>
  <si>
    <t>二、计算</t>
  </si>
  <si>
    <t>1、荷载计算</t>
  </si>
  <si>
    <t>①</t>
  </si>
  <si>
    <t>底模自重</t>
  </si>
  <si>
    <r>
      <t>kN/m</t>
    </r>
    <r>
      <rPr>
        <vertAlign val="superscript"/>
        <sz val="12"/>
        <rFont val="宋体"/>
        <family val="0"/>
      </rPr>
      <t>2</t>
    </r>
  </si>
  <si>
    <t>②</t>
  </si>
  <si>
    <r>
      <t>kN/m</t>
    </r>
    <r>
      <rPr>
        <vertAlign val="superscript"/>
        <sz val="12"/>
        <rFont val="宋体"/>
        <family val="0"/>
      </rPr>
      <t>2</t>
    </r>
  </si>
  <si>
    <t>施工人员及设备荷载</t>
  </si>
  <si>
    <t>线荷载为：</t>
  </si>
  <si>
    <r>
      <t>kN/m</t>
    </r>
    <r>
      <rPr>
        <vertAlign val="superscript"/>
        <sz val="12"/>
        <rFont val="宋体"/>
        <family val="0"/>
      </rPr>
      <t>2</t>
    </r>
  </si>
  <si>
    <r>
      <t>(</t>
    </r>
    <r>
      <rPr>
        <sz val="12"/>
        <rFont val="宋体"/>
        <family val="0"/>
      </rPr>
      <t>用于强度验算)</t>
    </r>
  </si>
  <si>
    <r>
      <t>kN/m</t>
    </r>
    <r>
      <rPr>
        <vertAlign val="superscript"/>
        <sz val="12"/>
        <rFont val="宋体"/>
        <family val="0"/>
      </rPr>
      <t>2</t>
    </r>
  </si>
  <si>
    <r>
      <t>(</t>
    </r>
    <r>
      <rPr>
        <sz val="12"/>
        <rFont val="宋体"/>
        <family val="0"/>
      </rPr>
      <t>用于挠度验算)</t>
    </r>
  </si>
  <si>
    <t>2、模板验算（按三跨连续梁计算）</t>
  </si>
  <si>
    <t>计算简图</t>
  </si>
  <si>
    <t>抗弯强度验算：</t>
  </si>
  <si>
    <t>N·mm</t>
  </si>
  <si>
    <r>
      <t>σ=M/W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</si>
  <si>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</si>
  <si>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t>≤</t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</si>
  <si>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</t>
    </r>
  </si>
  <si>
    <t>其中：</t>
  </si>
  <si>
    <r>
      <t>N/mm</t>
    </r>
    <r>
      <rPr>
        <vertAlign val="superscript"/>
        <sz val="12"/>
        <rFont val="宋体"/>
        <family val="0"/>
      </rPr>
      <t>2</t>
    </r>
  </si>
  <si>
    <t>符合要求</t>
  </si>
  <si>
    <t>挠度验算：</t>
  </si>
  <si>
    <t>mm</t>
  </si>
  <si>
    <r>
      <t>[w]</t>
    </r>
    <r>
      <rPr>
        <sz val="12"/>
        <rFont val="宋体"/>
        <family val="0"/>
      </rPr>
      <t>为允许挠度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</si>
  <si>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4</t>
    </r>
    <r>
      <rPr>
        <sz val="12"/>
        <rFont val="宋体"/>
        <family val="0"/>
      </rPr>
      <t>00=</t>
    </r>
  </si>
  <si>
    <t>mm</t>
  </si>
  <si>
    <t>符合要求</t>
  </si>
  <si>
    <t>抗弯强度验算：</t>
  </si>
  <si>
    <t>N·mm</t>
  </si>
  <si>
    <r>
      <t>σ=M/W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</si>
  <si>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</si>
  <si>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t>≤</t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</si>
  <si>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</t>
    </r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</si>
  <si>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 为</t>
    </r>
    <r>
      <rPr>
        <sz val="12"/>
        <rFont val="宋体"/>
        <family val="0"/>
      </rPr>
      <t>木</t>
    </r>
    <r>
      <rPr>
        <sz val="12"/>
        <rFont val="宋体"/>
        <family val="0"/>
      </rPr>
      <t>材抗弯、抗拉强度设计值</t>
    </r>
  </si>
  <si>
    <r>
      <t>N/mm</t>
    </r>
    <r>
      <rPr>
        <vertAlign val="superscript"/>
        <sz val="12"/>
        <rFont val="宋体"/>
        <family val="0"/>
      </rPr>
      <t>2</t>
    </r>
  </si>
  <si>
    <r>
      <t>w=</t>
    </r>
    <r>
      <rPr>
        <sz val="12"/>
        <rFont val="宋体"/>
        <family val="0"/>
      </rPr>
      <t>5</t>
    </r>
    <r>
      <rPr>
        <sz val="12"/>
        <rFont val="宋体"/>
        <family val="0"/>
      </rPr>
      <t>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384</t>
    </r>
    <r>
      <rPr>
        <sz val="12"/>
        <rFont val="宋体"/>
        <family val="0"/>
      </rPr>
      <t>E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</si>
  <si>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t>mm</t>
  </si>
  <si>
    <t>其中：</t>
  </si>
  <si>
    <r>
      <t>[w]</t>
    </r>
    <r>
      <rPr>
        <sz val="12"/>
        <rFont val="宋体"/>
        <family val="0"/>
      </rPr>
      <t>为允许挠度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</si>
  <si>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/</t>
    </r>
    <r>
      <rPr>
        <sz val="12"/>
        <rFont val="宋体"/>
        <family val="0"/>
      </rPr>
      <t>5</t>
    </r>
    <r>
      <rPr>
        <sz val="12"/>
        <rFont val="宋体"/>
        <family val="0"/>
      </rPr>
      <t>00=</t>
    </r>
  </si>
  <si>
    <t>4、大楞验算（按三跨连续梁计算）</t>
  </si>
  <si>
    <t>抗弯强度验算：</t>
  </si>
  <si>
    <r>
      <t>M=0.10×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</si>
  <si>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t>N·mm</t>
  </si>
  <si>
    <r>
      <t>σ</t>
    </r>
    <r>
      <rPr>
        <sz val="12"/>
        <rFont val="宋体"/>
        <family val="0"/>
      </rPr>
      <t>=M/W</t>
    </r>
    <r>
      <rPr>
        <sz val="12"/>
        <rFont val="宋体"/>
        <family val="0"/>
      </rPr>
      <t>=</t>
    </r>
  </si>
  <si>
    <r>
      <t>[f</t>
    </r>
    <r>
      <rPr>
        <sz val="12"/>
        <rFont val="宋体"/>
        <family val="0"/>
      </rPr>
      <t>]</t>
    </r>
  </si>
  <si>
    <r>
      <t>w=0.677×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/100EI=</t>
    </r>
  </si>
  <si>
    <t>其中：</t>
  </si>
  <si>
    <r>
      <t>[w]</t>
    </r>
    <r>
      <rPr>
        <sz val="12"/>
        <rFont val="宋体"/>
        <family val="0"/>
      </rPr>
      <t>为允许挠度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</si>
  <si>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/</t>
    </r>
    <r>
      <rPr>
        <sz val="12"/>
        <rFont val="宋体"/>
        <family val="0"/>
      </rPr>
      <t>5</t>
    </r>
    <r>
      <rPr>
        <sz val="12"/>
        <rFont val="宋体"/>
        <family val="0"/>
      </rPr>
      <t>00=</t>
    </r>
  </si>
  <si>
    <t>5、钢管立柱验算</t>
  </si>
  <si>
    <t>N</t>
  </si>
  <si>
    <t>每根立柱承受的荷载N：</t>
  </si>
  <si>
    <r>
      <t>N=q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+N'=</t>
    </r>
  </si>
  <si>
    <t>kN</t>
  </si>
  <si>
    <t>一般按立柱的稳定性控制，可按两端铰，按受压弯构件简化计算</t>
  </si>
  <si>
    <t>查建筑施工手册，搭接立杆容许荷载为</t>
  </si>
  <si>
    <r>
      <t>k</t>
    </r>
    <r>
      <rPr>
        <sz val="12"/>
        <rFont val="宋体"/>
        <family val="0"/>
      </rPr>
      <t>N</t>
    </r>
  </si>
  <si>
    <t>符合要求</t>
  </si>
  <si>
    <t>钢构自重</t>
  </si>
  <si>
    <r>
      <t>9</t>
    </r>
    <r>
      <rPr>
        <sz val="12"/>
        <rFont val="宋体"/>
        <family val="0"/>
      </rPr>
      <t>21.7/1042</t>
    </r>
    <r>
      <rPr>
        <sz val="12"/>
        <rFont val="宋体"/>
        <family val="0"/>
      </rPr>
      <t>×1.2=</t>
    </r>
  </si>
  <si>
    <t>③</t>
  </si>
  <si>
    <t>B2区域支撑架模板计算</t>
  </si>
  <si>
    <r>
      <t>q</t>
    </r>
    <r>
      <rPr>
        <vertAlign val="subscript"/>
        <sz val="14"/>
        <rFont val="宋体"/>
        <family val="0"/>
      </rPr>
      <t>1</t>
    </r>
    <r>
      <rPr>
        <sz val="12"/>
        <rFont val="宋体"/>
        <family val="0"/>
      </rPr>
      <t>=k×(①+②+③)=</t>
    </r>
  </si>
  <si>
    <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=k×(①+②)=</t>
    </r>
  </si>
  <si>
    <t>一、假定条件及有关参数取值</t>
  </si>
  <si>
    <r>
      <t>楼层净高</t>
    </r>
    <r>
      <rPr>
        <sz val="12"/>
        <rFont val="Times New Roman"/>
        <family val="1"/>
      </rPr>
      <t>H(m)</t>
    </r>
  </si>
  <si>
    <r>
      <t>横杆步距</t>
    </r>
    <r>
      <rPr>
        <sz val="12"/>
        <rFont val="Times New Roman"/>
        <family val="1"/>
      </rPr>
      <t>(mm)</t>
    </r>
  </si>
  <si>
    <r>
      <t>步数n</t>
    </r>
    <r>
      <rPr>
        <vertAlign val="subscript"/>
        <sz val="12"/>
        <rFont val="宋体"/>
        <family val="0"/>
      </rPr>
      <t>0</t>
    </r>
  </si>
  <si>
    <t>模板形式</t>
  </si>
  <si>
    <t>荷载折减系数k为：</t>
  </si>
  <si>
    <t>模板选用：</t>
  </si>
  <si>
    <t>落叶松胶合板</t>
  </si>
  <si>
    <r>
      <t>夹板厚</t>
    </r>
    <r>
      <rPr>
        <sz val="12"/>
        <rFont val="宋体"/>
        <family val="0"/>
      </rPr>
      <t>度t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(mm)</t>
    </r>
  </si>
  <si>
    <r>
      <t>惯性矩I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)</t>
    </r>
  </si>
  <si>
    <r>
      <t>截面抵抗矩W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</si>
  <si>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r>
      <t>弹性模量E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(N/mm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</si>
  <si>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内楞木选用：</t>
  </si>
  <si>
    <t>落叶松</t>
  </si>
  <si>
    <r>
      <t>楞木宽度</t>
    </r>
    <r>
      <rPr>
        <sz val="12"/>
        <rFont val="宋体"/>
        <family val="0"/>
      </rPr>
      <t>b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(mm)</t>
    </r>
  </si>
  <si>
    <r>
      <t>楞木高度</t>
    </r>
    <r>
      <rPr>
        <sz val="12"/>
        <rFont val="宋体"/>
        <family val="0"/>
      </rPr>
      <t>t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(mm)</t>
    </r>
  </si>
  <si>
    <r>
      <t>惯性矩I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)</t>
    </r>
  </si>
  <si>
    <r>
      <t>截面抵抗矩W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</si>
  <si>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r>
      <t>木材的弹性模量E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(N/mm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</si>
  <si>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楞木</t>
    </r>
    <r>
      <rPr>
        <sz val="12"/>
        <rFont val="宋体"/>
        <family val="0"/>
      </rPr>
      <t>净</t>
    </r>
    <r>
      <rPr>
        <sz val="12"/>
        <rFont val="宋体"/>
        <family val="0"/>
      </rPr>
      <t>距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(mm)</t>
    </r>
  </si>
  <si>
    <t>小楞根数n</t>
  </si>
  <si>
    <t>外钢楞采用：</t>
  </si>
  <si>
    <r>
      <t>φ</t>
    </r>
    <r>
      <rPr>
        <sz val="12"/>
        <rFont val="Times New Roman"/>
        <family val="1"/>
      </rPr>
      <t>48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3.5</t>
    </r>
    <r>
      <rPr>
        <sz val="12"/>
        <rFont val="宋体"/>
        <family val="0"/>
      </rPr>
      <t>钢管</t>
    </r>
  </si>
  <si>
    <r>
      <t>截面积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</si>
  <si>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截面抵抗矩</t>
    </r>
    <r>
      <rPr>
        <sz val="12"/>
        <rFont val="Times New Roman"/>
        <family val="1"/>
      </rPr>
      <t>W(mm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</si>
  <si>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截面惯性矩</t>
    </r>
    <r>
      <rPr>
        <sz val="12"/>
        <rFont val="Times New Roman"/>
        <family val="1"/>
      </rPr>
      <t>I(mm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</si>
  <si>
    <r>
      <t>钢材的弹性模量</t>
    </r>
    <r>
      <rPr>
        <sz val="12"/>
        <rFont val="Times New Roman"/>
        <family val="1"/>
      </rPr>
      <t>E(N/mm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</si>
  <si>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二、计算</t>
  </si>
  <si>
    <t>1、荷载计算</t>
  </si>
  <si>
    <t>①</t>
  </si>
  <si>
    <t>底模自重</t>
  </si>
  <si>
    <r>
      <t>0</t>
    </r>
    <r>
      <rPr>
        <sz val="12"/>
        <rFont val="宋体"/>
        <family val="0"/>
      </rPr>
      <t>.5</t>
    </r>
    <r>
      <rPr>
        <sz val="12"/>
        <rFont val="宋体"/>
        <family val="0"/>
      </rPr>
      <t>×1.2=</t>
    </r>
  </si>
  <si>
    <r>
      <t>kN/m</t>
    </r>
    <r>
      <rPr>
        <vertAlign val="superscript"/>
        <sz val="12"/>
        <rFont val="宋体"/>
        <family val="0"/>
      </rPr>
      <t>2</t>
    </r>
  </si>
  <si>
    <t>②</t>
  </si>
  <si>
    <t>钢构自重</t>
  </si>
  <si>
    <t>③</t>
  </si>
  <si>
    <t>施工人员及设备荷载</t>
  </si>
  <si>
    <r>
      <t>2</t>
    </r>
    <r>
      <rPr>
        <sz val="12"/>
        <rFont val="宋体"/>
        <family val="0"/>
      </rPr>
      <t>.5</t>
    </r>
    <r>
      <rPr>
        <sz val="12"/>
        <rFont val="宋体"/>
        <family val="0"/>
      </rPr>
      <t>×1.4=</t>
    </r>
  </si>
  <si>
    <t>线荷载为：</t>
  </si>
  <si>
    <r>
      <t>q</t>
    </r>
    <r>
      <rPr>
        <vertAlign val="subscript"/>
        <sz val="14"/>
        <rFont val="宋体"/>
        <family val="0"/>
      </rPr>
      <t>1</t>
    </r>
    <r>
      <rPr>
        <sz val="12"/>
        <rFont val="宋体"/>
        <family val="0"/>
      </rPr>
      <t>=k×(①+②+③)=</t>
    </r>
  </si>
  <si>
    <r>
      <t>(</t>
    </r>
    <r>
      <rPr>
        <sz val="12"/>
        <rFont val="宋体"/>
        <family val="0"/>
      </rPr>
      <t>用于强度验算)</t>
    </r>
  </si>
  <si>
    <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=k×(①+②)=</t>
    </r>
  </si>
  <si>
    <r>
      <t>(</t>
    </r>
    <r>
      <rPr>
        <sz val="12"/>
        <rFont val="宋体"/>
        <family val="0"/>
      </rPr>
      <t>用于挠度验算)</t>
    </r>
  </si>
  <si>
    <t>2、模板验算（按三跨连续梁计算）</t>
  </si>
  <si>
    <t>计算简图</t>
  </si>
  <si>
    <t>抗弯强度验算：</t>
  </si>
  <si>
    <r>
      <t>M=0.10×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</t>
    </r>
    <r>
      <rPr>
        <sz val="12"/>
        <rFont val="宋体"/>
        <family val="0"/>
      </rPr>
      <t>1000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</si>
  <si>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t>N·mm</t>
  </si>
  <si>
    <r>
      <t>σ=M/W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</si>
  <si>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</si>
  <si>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t>≤</t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</si>
  <si>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</t>
    </r>
  </si>
  <si>
    <t>其中：</t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</si>
  <si>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 为</t>
    </r>
    <r>
      <rPr>
        <sz val="12"/>
        <rFont val="宋体"/>
        <family val="0"/>
      </rPr>
      <t>夹板</t>
    </r>
    <r>
      <rPr>
        <sz val="12"/>
        <rFont val="宋体"/>
        <family val="0"/>
      </rPr>
      <t>抗弯强度设计值</t>
    </r>
  </si>
  <si>
    <t>符合要求</t>
  </si>
  <si>
    <t>挠度验算：</t>
  </si>
  <si>
    <r>
      <t>w=0.677×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1000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/100E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=</t>
    </r>
  </si>
  <si>
    <t>mm</t>
  </si>
  <si>
    <r>
      <t>[w]</t>
    </r>
    <r>
      <rPr>
        <sz val="12"/>
        <rFont val="宋体"/>
        <family val="0"/>
      </rPr>
      <t>为允许挠度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</si>
  <si>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4</t>
    </r>
    <r>
      <rPr>
        <sz val="12"/>
        <rFont val="宋体"/>
        <family val="0"/>
      </rPr>
      <t>00=</t>
    </r>
  </si>
  <si>
    <t>3、小楞验算（按简支梁计算）</t>
  </si>
  <si>
    <r>
      <t>M=0.1</t>
    </r>
    <r>
      <rPr>
        <sz val="12"/>
        <rFont val="宋体"/>
        <family val="0"/>
      </rPr>
      <t>25</t>
    </r>
    <r>
      <rPr>
        <sz val="12"/>
        <rFont val="宋体"/>
        <family val="0"/>
      </rPr>
      <t>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</si>
  <si>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σ=M/W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</si>
  <si>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r>
      <t>[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] 为</t>
    </r>
    <r>
      <rPr>
        <sz val="12"/>
        <rFont val="宋体"/>
        <family val="0"/>
      </rPr>
      <t>木</t>
    </r>
    <r>
      <rPr>
        <sz val="12"/>
        <rFont val="宋体"/>
        <family val="0"/>
      </rPr>
      <t>材抗弯、抗拉强度设计值</t>
    </r>
  </si>
  <si>
    <r>
      <t>w=</t>
    </r>
    <r>
      <rPr>
        <sz val="12"/>
        <rFont val="宋体"/>
        <family val="0"/>
      </rPr>
      <t>5</t>
    </r>
    <r>
      <rPr>
        <sz val="12"/>
        <rFont val="宋体"/>
        <family val="0"/>
      </rPr>
      <t>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</t>
    </r>
    <r>
      <rPr>
        <sz val="12"/>
        <rFont val="宋体"/>
        <family val="0"/>
      </rPr>
      <t>384</t>
    </r>
    <r>
      <rPr>
        <sz val="12"/>
        <rFont val="宋体"/>
        <family val="0"/>
      </rPr>
      <t>E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</si>
  <si>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/</t>
    </r>
    <r>
      <rPr>
        <sz val="12"/>
        <rFont val="宋体"/>
        <family val="0"/>
      </rPr>
      <t>5</t>
    </r>
    <r>
      <rPr>
        <sz val="12"/>
        <rFont val="宋体"/>
        <family val="0"/>
      </rPr>
      <t>00=</t>
    </r>
  </si>
  <si>
    <t>4、大楞验算（按三跨连续梁计算）</t>
  </si>
  <si>
    <r>
      <t>M=0.10×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</si>
  <si>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σ</t>
    </r>
    <r>
      <rPr>
        <sz val="12"/>
        <rFont val="宋体"/>
        <family val="0"/>
      </rPr>
      <t>=M/W</t>
    </r>
    <r>
      <rPr>
        <sz val="12"/>
        <rFont val="宋体"/>
        <family val="0"/>
      </rPr>
      <t>=</t>
    </r>
  </si>
  <si>
    <r>
      <t>[f</t>
    </r>
    <r>
      <rPr>
        <sz val="12"/>
        <rFont val="宋体"/>
        <family val="0"/>
      </rPr>
      <t>]</t>
    </r>
  </si>
  <si>
    <r>
      <t>[f</t>
    </r>
    <r>
      <rPr>
        <sz val="12"/>
        <rFont val="宋体"/>
        <family val="0"/>
      </rPr>
      <t>]</t>
    </r>
    <r>
      <rPr>
        <sz val="12"/>
        <rFont val="宋体"/>
        <family val="0"/>
      </rPr>
      <t xml:space="preserve"> 为钢材抗弯、抗拉强度设计值</t>
    </r>
  </si>
  <si>
    <r>
      <t>w=0.677×</t>
    </r>
    <r>
      <rPr>
        <sz val="14"/>
        <rFont val="宋体"/>
        <family val="0"/>
      </rPr>
      <t>q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/100EI=</t>
    </r>
  </si>
  <si>
    <r>
      <t>[w]=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/</t>
    </r>
    <r>
      <rPr>
        <sz val="12"/>
        <rFont val="宋体"/>
        <family val="0"/>
      </rPr>
      <t>5</t>
    </r>
    <r>
      <rPr>
        <sz val="12"/>
        <rFont val="宋体"/>
        <family val="0"/>
      </rPr>
      <t>00=</t>
    </r>
  </si>
  <si>
    <t>5、钢管立柱验算</t>
  </si>
  <si>
    <r>
      <t>支模排架自重N'=</t>
    </r>
    <r>
      <rPr>
        <sz val="12"/>
        <rFont val="宋体"/>
        <family val="0"/>
      </rPr>
      <t>(</t>
    </r>
    <r>
      <rPr>
        <sz val="12"/>
        <rFont val="宋体"/>
        <family val="0"/>
      </rPr>
      <t>38.4×</t>
    </r>
    <r>
      <rPr>
        <sz val="12"/>
        <rFont val="宋体"/>
        <family val="0"/>
      </rPr>
      <t>(l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(1+</t>
    </r>
    <r>
      <rPr>
        <sz val="12"/>
        <rFont val="宋体"/>
        <family val="0"/>
      </rPr>
      <t>n</t>
    </r>
    <r>
      <rPr>
        <sz val="12"/>
        <rFont val="宋体"/>
        <family val="0"/>
      </rPr>
      <t>))+15×(2+n))×n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×1.2</t>
    </r>
    <r>
      <rPr>
        <sz val="12"/>
        <rFont val="宋体"/>
        <family val="0"/>
      </rPr>
      <t>=</t>
    </r>
  </si>
  <si>
    <t>N</t>
  </si>
  <si>
    <t>每根立柱承受的荷载N：</t>
  </si>
  <si>
    <r>
      <t>N=q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+N'=</t>
    </r>
  </si>
  <si>
    <t>kN</t>
  </si>
  <si>
    <t>一般按立柱的稳定性控制，可按两端铰，按受压弯构件简化计算</t>
  </si>
  <si>
    <t>查建筑施工手册，搭接立杆容许荷载为</t>
  </si>
  <si>
    <r>
      <t>k</t>
    </r>
    <r>
      <rPr>
        <sz val="12"/>
        <rFont val="宋体"/>
        <family val="0"/>
      </rPr>
      <t>N</t>
    </r>
  </si>
  <si>
    <t>B1区域支撑架模板计算</t>
  </si>
  <si>
    <t>③</t>
  </si>
  <si>
    <r>
      <t xml:space="preserve">    B1箱型环状钢梁自重15.5t，支撑架区域范围为半径6.4m、影响范围1m的环形区域，影响面积约为40.19m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。</t>
    </r>
  </si>
  <si>
    <r>
      <t>155/40.19</t>
    </r>
    <r>
      <rPr>
        <sz val="12"/>
        <rFont val="宋体"/>
        <family val="0"/>
      </rPr>
      <t>×1.2=</t>
    </r>
  </si>
  <si>
    <r>
      <t>中心B</t>
    </r>
    <r>
      <rPr>
        <sz val="12"/>
        <rFont val="宋体"/>
        <family val="0"/>
      </rPr>
      <t>2</t>
    </r>
    <r>
      <rPr>
        <sz val="12"/>
        <rFont val="宋体"/>
        <family val="0"/>
      </rPr>
      <t>梁和玻璃自重</t>
    </r>
  </si>
  <si>
    <r>
      <t>1</t>
    </r>
    <r>
      <rPr>
        <sz val="12"/>
        <rFont val="宋体"/>
        <family val="0"/>
      </rPr>
      <t>30/40.19×1.2=</t>
    </r>
  </si>
  <si>
    <r>
      <t>大楞间距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劲向</t>
    </r>
    <r>
      <rPr>
        <sz val="12"/>
        <rFont val="Times New Roman"/>
        <family val="1"/>
      </rPr>
      <t>) 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(mm)</t>
    </r>
  </si>
  <si>
    <r>
      <t>大楞间距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环向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(mm)</t>
    </r>
  </si>
  <si>
    <r>
      <t xml:space="preserve">    B2钢构自重92.17t，支撑架体搭设范围为顶部半径19m、底部半径16m除B1钢梁环形区域外的圆形区域，顶部影响面积约为1093.35m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</t>
    </r>
    <r>
      <rPr>
        <sz val="12"/>
        <rFont val="宋体"/>
        <family val="0"/>
      </rPr>
      <t>底部支撑范围面积为</t>
    </r>
    <r>
      <rPr>
        <sz val="12"/>
        <rFont val="宋体"/>
        <family val="0"/>
      </rPr>
      <t>763.65m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。</t>
    </r>
  </si>
  <si>
    <r>
      <t>0</t>
    </r>
    <r>
      <rPr>
        <sz val="12"/>
        <rFont val="宋体"/>
        <family val="0"/>
      </rPr>
      <t>.5×1093.35/763.65</t>
    </r>
    <r>
      <rPr>
        <sz val="12"/>
        <rFont val="宋体"/>
        <family val="0"/>
      </rPr>
      <t>×1.2=</t>
    </r>
  </si>
  <si>
    <r>
      <t>2</t>
    </r>
    <r>
      <rPr>
        <sz val="12"/>
        <rFont val="宋体"/>
        <family val="0"/>
      </rPr>
      <t>.5×1093.35/763.65</t>
    </r>
    <r>
      <rPr>
        <sz val="12"/>
        <rFont val="宋体"/>
        <family val="0"/>
      </rPr>
      <t>×1.4=</t>
    </r>
  </si>
  <si>
    <r>
      <t xml:space="preserve">楼板模板计算（钢模） </t>
    </r>
    <r>
      <rPr>
        <b/>
        <sz val="12"/>
        <rFont val="宋体"/>
        <family val="0"/>
      </rPr>
      <t xml:space="preserve"> </t>
    </r>
  </si>
  <si>
    <r>
      <t xml:space="preserve">楼板模板计算（夹板） </t>
    </r>
    <r>
      <rPr>
        <b/>
        <sz val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</si>
</sst>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00_ 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vertAlign val="subscript"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0" fontId="0" fillId="2" borderId="0" xfId="0" applyFont="1" applyFill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workbookViewId="0" topLeftCell="A1">
      <selection activeCell="A1" sqref="A1:H1"/>
    </sheetView>
  </sheetViews>
  <sheetFormatPr defaultColWidth="9.00390625" defaultRowHeight="14.25"/>
  <cols>
    <col min="1" max="1" width="9.375" style="0" customWidth="1"/>
    <col min="2" max="2" width="10.50390625" style="0" customWidth="1"/>
    <col min="3" max="3" width="9.50390625" style="0" customWidth="1"/>
    <col min="4" max="5" width="9.875" style="0" customWidth="1"/>
    <col min="6" max="6" width="9.625" style="0" customWidth="1"/>
    <col min="7" max="7" width="9.375" style="0" customWidth="1"/>
    <col min="8" max="8" width="11.50390625" style="0" customWidth="1"/>
  </cols>
  <sheetData>
    <row r="1" spans="1:9" ht="20.25">
      <c r="A1" s="33" t="s">
        <v>296</v>
      </c>
      <c r="B1" s="33"/>
      <c r="C1" s="33"/>
      <c r="D1" s="33"/>
      <c r="E1" s="33"/>
      <c r="F1" s="33"/>
      <c r="G1" s="33"/>
      <c r="H1" s="33"/>
      <c r="I1" s="4"/>
    </row>
    <row r="2" spans="1:8" s="6" customFormat="1" ht="14.25">
      <c r="A2" s="14" t="s">
        <v>107</v>
      </c>
      <c r="B2" s="28" t="s">
        <v>108</v>
      </c>
      <c r="C2" s="28"/>
      <c r="D2" s="28"/>
      <c r="E2" s="28"/>
      <c r="F2" s="28"/>
      <c r="G2" s="28"/>
      <c r="H2" s="28"/>
    </row>
    <row r="3" spans="1:8" s="6" customFormat="1" ht="14.25">
      <c r="A3" s="28" t="s">
        <v>12</v>
      </c>
      <c r="B3" s="28"/>
      <c r="C3" s="28"/>
      <c r="D3" s="28"/>
      <c r="E3" s="28"/>
      <c r="F3" s="28"/>
      <c r="G3" s="28"/>
      <c r="H3" s="28"/>
    </row>
    <row r="4" spans="1:7" ht="15.75">
      <c r="A4" s="30" t="s">
        <v>0</v>
      </c>
      <c r="B4" s="30"/>
      <c r="C4" s="23">
        <v>10</v>
      </c>
      <c r="D4" s="1" t="s">
        <v>13</v>
      </c>
      <c r="E4" s="23">
        <v>3</v>
      </c>
      <c r="F4" t="s">
        <v>9</v>
      </c>
      <c r="G4" s="23">
        <v>0.55</v>
      </c>
    </row>
    <row r="5" spans="1:8" ht="18.75">
      <c r="A5" s="30" t="s">
        <v>91</v>
      </c>
      <c r="B5" s="30"/>
      <c r="C5" s="23">
        <v>4.4</v>
      </c>
      <c r="D5" s="27" t="s">
        <v>14</v>
      </c>
      <c r="E5" s="27"/>
      <c r="F5" s="23">
        <v>1800</v>
      </c>
      <c r="G5" s="3" t="s">
        <v>69</v>
      </c>
      <c r="H5" s="22">
        <f>C5*1000/F5</f>
        <v>2.4444444444444446</v>
      </c>
    </row>
    <row r="6" spans="1:8" ht="14.25">
      <c r="A6" s="5" t="s">
        <v>15</v>
      </c>
      <c r="B6" s="7" t="s">
        <v>17</v>
      </c>
      <c r="C6" s="28" t="s">
        <v>16</v>
      </c>
      <c r="D6" s="28"/>
      <c r="E6" s="7">
        <v>0.85</v>
      </c>
      <c r="F6" s="26"/>
      <c r="G6" s="26"/>
      <c r="H6" s="26"/>
    </row>
    <row r="7" spans="1:8" ht="15.75">
      <c r="A7" s="30" t="s">
        <v>18</v>
      </c>
      <c r="B7" s="30"/>
      <c r="C7" s="31" t="s">
        <v>10</v>
      </c>
      <c r="D7" s="31"/>
      <c r="E7" s="27"/>
      <c r="F7" s="27"/>
      <c r="G7" s="27"/>
      <c r="H7" s="27"/>
    </row>
    <row r="8" spans="1:7" ht="18.75">
      <c r="A8" s="30" t="s">
        <v>1</v>
      </c>
      <c r="B8" s="30"/>
      <c r="C8" s="8">
        <v>489</v>
      </c>
      <c r="D8" s="30" t="s">
        <v>94</v>
      </c>
      <c r="E8" s="30"/>
      <c r="F8" s="30"/>
      <c r="G8" s="8">
        <v>5080</v>
      </c>
    </row>
    <row r="9" spans="1:7" ht="18.75">
      <c r="A9" s="30" t="s">
        <v>2</v>
      </c>
      <c r="B9" s="30"/>
      <c r="C9" s="9">
        <v>121900</v>
      </c>
      <c r="D9" s="30" t="s">
        <v>3</v>
      </c>
      <c r="E9" s="30"/>
      <c r="F9" s="30"/>
      <c r="G9" s="8">
        <v>206000</v>
      </c>
    </row>
    <row r="10" spans="1:8" ht="19.5">
      <c r="A10" s="30" t="s">
        <v>36</v>
      </c>
      <c r="B10" s="30"/>
      <c r="C10" s="23">
        <v>700</v>
      </c>
      <c r="D10" s="30" t="s">
        <v>37</v>
      </c>
      <c r="E10" s="30"/>
      <c r="F10" s="23">
        <v>700</v>
      </c>
      <c r="G10" s="27"/>
      <c r="H10" s="27"/>
    </row>
    <row r="11" spans="1:8" ht="18.75">
      <c r="A11" s="30" t="s">
        <v>34</v>
      </c>
      <c r="B11" s="30"/>
      <c r="C11" s="8">
        <f>C10/(E11+1)</f>
        <v>175</v>
      </c>
      <c r="D11" s="10" t="s">
        <v>35</v>
      </c>
      <c r="E11" s="23">
        <v>3</v>
      </c>
      <c r="F11" s="31"/>
      <c r="G11" s="31"/>
      <c r="H11" s="31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31"/>
      <c r="B22" s="31"/>
      <c r="C22" s="31"/>
      <c r="D22" s="31"/>
      <c r="E22" s="31"/>
      <c r="F22" s="31"/>
      <c r="G22" s="31"/>
      <c r="H22" s="31"/>
    </row>
    <row r="23" spans="1:8" s="6" customFormat="1" ht="14.25">
      <c r="A23" s="28" t="s">
        <v>19</v>
      </c>
      <c r="B23" s="28"/>
      <c r="C23" s="28"/>
      <c r="D23" s="28"/>
      <c r="E23" s="28"/>
      <c r="F23" s="28"/>
      <c r="G23" s="28"/>
      <c r="H23" s="28"/>
    </row>
    <row r="24" spans="1:8" ht="14.25">
      <c r="A24" s="30" t="s">
        <v>38</v>
      </c>
      <c r="B24" s="30"/>
      <c r="C24" s="30"/>
      <c r="D24" s="30"/>
      <c r="E24" s="30"/>
      <c r="F24" s="30"/>
      <c r="G24" s="30"/>
      <c r="H24" s="30"/>
    </row>
    <row r="25" spans="1:7" s="6" customFormat="1" ht="16.5">
      <c r="A25" s="11" t="s">
        <v>20</v>
      </c>
      <c r="B25" s="28" t="s">
        <v>21</v>
      </c>
      <c r="C25" s="28"/>
      <c r="D25" s="29" t="s">
        <v>33</v>
      </c>
      <c r="E25" s="29"/>
      <c r="F25" s="12">
        <f>0.75*1.2</f>
        <v>0.8999999999999999</v>
      </c>
      <c r="G25" s="6" t="s">
        <v>41</v>
      </c>
    </row>
    <row r="26" spans="1:7" s="6" customFormat="1" ht="16.5">
      <c r="A26" s="11" t="s">
        <v>22</v>
      </c>
      <c r="B26" s="28" t="s">
        <v>23</v>
      </c>
      <c r="C26" s="28"/>
      <c r="D26" s="29" t="s">
        <v>32</v>
      </c>
      <c r="E26" s="29"/>
      <c r="F26" s="12">
        <f>24*G4*1.2</f>
        <v>15.84</v>
      </c>
      <c r="G26" s="6" t="s">
        <v>41</v>
      </c>
    </row>
    <row r="27" spans="1:7" s="6" customFormat="1" ht="16.5">
      <c r="A27" s="11" t="s">
        <v>24</v>
      </c>
      <c r="B27" s="28" t="s">
        <v>25</v>
      </c>
      <c r="C27" s="28"/>
      <c r="D27" s="29" t="s">
        <v>88</v>
      </c>
      <c r="E27" s="29"/>
      <c r="F27" s="12">
        <f>1.1*G4*1.2</f>
        <v>0.7260000000000001</v>
      </c>
      <c r="G27" s="6" t="s">
        <v>41</v>
      </c>
    </row>
    <row r="28" spans="1:7" s="6" customFormat="1" ht="16.5">
      <c r="A28" s="11" t="s">
        <v>26</v>
      </c>
      <c r="B28" s="28" t="s">
        <v>92</v>
      </c>
      <c r="C28" s="28"/>
      <c r="D28" s="29" t="s">
        <v>93</v>
      </c>
      <c r="E28" s="29"/>
      <c r="F28" s="12">
        <f>2.5*1.4</f>
        <v>3.5</v>
      </c>
      <c r="G28" s="6" t="s">
        <v>41</v>
      </c>
    </row>
    <row r="29" spans="1:8" s="6" customFormat="1" ht="15.75" customHeight="1">
      <c r="A29" s="6" t="s">
        <v>27</v>
      </c>
      <c r="B29" s="32" t="s">
        <v>28</v>
      </c>
      <c r="C29" s="32"/>
      <c r="D29" s="32"/>
      <c r="E29" s="13">
        <f>E6*(F25+F26+F27+F28)</f>
        <v>17.821099999999998</v>
      </c>
      <c r="F29" s="15" t="s">
        <v>41</v>
      </c>
      <c r="G29" s="28" t="s">
        <v>29</v>
      </c>
      <c r="H29" s="28"/>
    </row>
    <row r="30" spans="2:8" s="6" customFormat="1" ht="15.75" customHeight="1">
      <c r="B30" s="32" t="s">
        <v>30</v>
      </c>
      <c r="C30" s="32"/>
      <c r="D30" s="32"/>
      <c r="E30" s="13">
        <f>E6*(F25+F26+F27)</f>
        <v>14.846099999999998</v>
      </c>
      <c r="F30" s="15" t="s">
        <v>41</v>
      </c>
      <c r="G30" s="28" t="s">
        <v>31</v>
      </c>
      <c r="H30" s="28"/>
    </row>
    <row r="31" spans="1:8" ht="15.75" customHeight="1">
      <c r="A31" s="31"/>
      <c r="B31" s="31"/>
      <c r="C31" s="31"/>
      <c r="D31" s="31"/>
      <c r="E31" s="31"/>
      <c r="F31" s="31"/>
      <c r="G31" s="31"/>
      <c r="H31" s="31"/>
    </row>
    <row r="32" spans="1:8" ht="15.75" customHeight="1">
      <c r="A32" s="30" t="s">
        <v>39</v>
      </c>
      <c r="B32" s="30"/>
      <c r="C32" s="30"/>
      <c r="D32" s="30"/>
      <c r="E32" s="30"/>
      <c r="F32" s="30"/>
      <c r="G32" s="30"/>
      <c r="H32" s="30"/>
    </row>
    <row r="33" spans="1:8" ht="15.75" customHeight="1">
      <c r="A33" s="30" t="s">
        <v>40</v>
      </c>
      <c r="B33" s="30"/>
      <c r="C33" s="30"/>
      <c r="D33" s="30"/>
      <c r="E33" s="30"/>
      <c r="F33" s="30"/>
      <c r="G33" s="30"/>
      <c r="H33" s="30"/>
    </row>
    <row r="34" spans="1:8" ht="15.75" customHeight="1">
      <c r="A34" s="27"/>
      <c r="B34" s="27"/>
      <c r="C34" s="27"/>
      <c r="D34" s="27"/>
      <c r="E34" s="27"/>
      <c r="F34" s="27"/>
      <c r="G34" s="27"/>
      <c r="H34" s="27"/>
    </row>
    <row r="35" spans="1:8" ht="15.75" customHeight="1">
      <c r="A35" s="27"/>
      <c r="B35" s="27"/>
      <c r="C35" s="27"/>
      <c r="D35" s="27"/>
      <c r="E35" s="27"/>
      <c r="F35" s="27"/>
      <c r="G35" s="27"/>
      <c r="H35" s="27"/>
    </row>
    <row r="36" spans="1:8" ht="15.75" customHeight="1">
      <c r="A36" s="27"/>
      <c r="B36" s="27"/>
      <c r="C36" s="27"/>
      <c r="D36" s="27"/>
      <c r="E36" s="27"/>
      <c r="F36" s="27"/>
      <c r="G36" s="27"/>
      <c r="H36" s="27"/>
    </row>
    <row r="37" spans="1:8" ht="15.75" customHeight="1">
      <c r="A37" s="27"/>
      <c r="B37" s="27"/>
      <c r="C37" s="27"/>
      <c r="D37" s="27"/>
      <c r="E37" s="27"/>
      <c r="F37" s="27"/>
      <c r="G37" s="27"/>
      <c r="H37" s="27"/>
    </row>
    <row r="38" spans="1:8" ht="15.75" customHeight="1">
      <c r="A38" s="27"/>
      <c r="B38" s="27"/>
      <c r="C38" s="27"/>
      <c r="D38" s="27"/>
      <c r="E38" s="27"/>
      <c r="F38" s="27"/>
      <c r="G38" s="27"/>
      <c r="H38" s="27"/>
    </row>
    <row r="39" spans="1:8" ht="15.75" customHeight="1">
      <c r="A39" s="27"/>
      <c r="B39" s="27"/>
      <c r="C39" s="27"/>
      <c r="D39" s="27"/>
      <c r="E39" s="27"/>
      <c r="F39" s="27"/>
      <c r="G39" s="27"/>
      <c r="H39" s="27"/>
    </row>
    <row r="40" spans="1:8" ht="15.75" customHeight="1">
      <c r="A40" s="27"/>
      <c r="B40" s="27"/>
      <c r="C40" s="27"/>
      <c r="D40" s="27"/>
      <c r="E40" s="27"/>
      <c r="F40" s="27"/>
      <c r="G40" s="27"/>
      <c r="H40" s="27"/>
    </row>
    <row r="41" spans="1:8" s="6" customFormat="1" ht="14.25">
      <c r="A41" s="28" t="s">
        <v>42</v>
      </c>
      <c r="B41" s="28"/>
      <c r="C41" s="28"/>
      <c r="D41" s="28"/>
      <c r="E41" s="28"/>
      <c r="F41" s="28"/>
      <c r="G41" s="28"/>
      <c r="H41" s="28"/>
    </row>
    <row r="42" spans="2:8" s="6" customFormat="1" ht="19.5">
      <c r="B42" s="29" t="s">
        <v>52</v>
      </c>
      <c r="C42" s="29"/>
      <c r="D42" s="16">
        <f>0.1*E29/1000*C11*POWER(F10,2)</f>
        <v>152815.9325</v>
      </c>
      <c r="E42" s="6" t="s">
        <v>43</v>
      </c>
      <c r="F42" s="34"/>
      <c r="G42" s="34"/>
      <c r="H42" s="34"/>
    </row>
    <row r="43" spans="2:7" s="6" customFormat="1" ht="16.5">
      <c r="B43" s="28" t="s">
        <v>53</v>
      </c>
      <c r="C43" s="28"/>
      <c r="D43" s="17">
        <f>D42/G8</f>
        <v>30.081876476377953</v>
      </c>
      <c r="E43" s="6" t="s">
        <v>44</v>
      </c>
      <c r="F43" s="4" t="s">
        <v>45</v>
      </c>
      <c r="G43" s="14" t="s">
        <v>110</v>
      </c>
    </row>
    <row r="44" spans="1:8" s="6" customFormat="1" ht="16.5">
      <c r="A44" s="6" t="s">
        <v>46</v>
      </c>
      <c r="B44" s="34" t="s">
        <v>111</v>
      </c>
      <c r="C44" s="34"/>
      <c r="D44" s="34"/>
      <c r="E44" s="18">
        <v>205</v>
      </c>
      <c r="F44" s="6" t="s">
        <v>54</v>
      </c>
      <c r="G44" s="34"/>
      <c r="H44" s="34"/>
    </row>
    <row r="45" spans="1:8" s="6" customFormat="1" ht="14.25">
      <c r="A45" s="28" t="s">
        <v>47</v>
      </c>
      <c r="B45" s="28"/>
      <c r="C45" s="28"/>
      <c r="D45" s="28"/>
      <c r="E45" s="28"/>
      <c r="F45" s="28"/>
      <c r="G45" s="28"/>
      <c r="H45" s="28"/>
    </row>
    <row r="46" spans="1:8" s="6" customFormat="1" ht="14.25">
      <c r="A46" s="28" t="s">
        <v>48</v>
      </c>
      <c r="B46" s="28"/>
      <c r="C46" s="28"/>
      <c r="D46" s="28"/>
      <c r="E46" s="28"/>
      <c r="F46" s="28"/>
      <c r="G46" s="28"/>
      <c r="H46" s="28"/>
    </row>
    <row r="47" spans="2:8" s="6" customFormat="1" ht="19.5">
      <c r="B47" s="34" t="s">
        <v>55</v>
      </c>
      <c r="C47" s="34"/>
      <c r="D47" s="34"/>
      <c r="E47" s="13">
        <f>0.677*E30/1000*C11*POWER(F10,4)/(100*G9*C9)</f>
        <v>0.16817457273180705</v>
      </c>
      <c r="F47" s="6" t="s">
        <v>49</v>
      </c>
      <c r="G47" s="4" t="s">
        <v>45</v>
      </c>
      <c r="H47" s="14" t="s">
        <v>50</v>
      </c>
    </row>
    <row r="48" spans="1:8" s="6" customFormat="1" ht="14.25">
      <c r="A48" s="6" t="s">
        <v>46</v>
      </c>
      <c r="B48" s="28" t="s">
        <v>51</v>
      </c>
      <c r="C48" s="28"/>
      <c r="D48" s="28"/>
      <c r="E48" s="28"/>
      <c r="F48" s="28"/>
      <c r="G48" s="28"/>
      <c r="H48" s="28"/>
    </row>
    <row r="49" spans="2:8" s="6" customFormat="1" ht="18.75">
      <c r="B49" s="34" t="s">
        <v>56</v>
      </c>
      <c r="C49" s="34"/>
      <c r="D49" s="6">
        <f>F10/500</f>
        <v>1.4</v>
      </c>
      <c r="E49" s="6" t="s">
        <v>49</v>
      </c>
      <c r="F49" s="34"/>
      <c r="G49" s="34"/>
      <c r="H49" s="34"/>
    </row>
    <row r="50" spans="1:8" s="6" customFormat="1" ht="14.25">
      <c r="A50" s="28" t="s">
        <v>47</v>
      </c>
      <c r="B50" s="28"/>
      <c r="C50" s="28"/>
      <c r="D50" s="28"/>
      <c r="E50" s="28"/>
      <c r="F50" s="28"/>
      <c r="G50" s="28"/>
      <c r="H50" s="28"/>
    </row>
    <row r="51" spans="1:8" s="6" customFormat="1" ht="14.25">
      <c r="A51" s="34"/>
      <c r="B51" s="34"/>
      <c r="C51" s="34"/>
      <c r="D51" s="34"/>
      <c r="E51" s="34"/>
      <c r="F51" s="34"/>
      <c r="G51" s="34"/>
      <c r="H51" s="34"/>
    </row>
    <row r="52" spans="1:8" ht="15.75" customHeight="1">
      <c r="A52" s="30" t="s">
        <v>57</v>
      </c>
      <c r="B52" s="30"/>
      <c r="C52" s="30"/>
      <c r="D52" s="30"/>
      <c r="E52" s="30"/>
      <c r="F52" s="30"/>
      <c r="G52" s="30"/>
      <c r="H52" s="30"/>
    </row>
    <row r="53" spans="1:8" ht="15.75" customHeight="1">
      <c r="A53" s="30" t="s">
        <v>40</v>
      </c>
      <c r="B53" s="30"/>
      <c r="C53" s="30"/>
      <c r="D53" s="30"/>
      <c r="E53" s="30"/>
      <c r="F53" s="30"/>
      <c r="G53" s="30"/>
      <c r="H53" s="30"/>
    </row>
    <row r="54" spans="1:8" ht="15.75" customHeight="1">
      <c r="A54" s="27"/>
      <c r="B54" s="27"/>
      <c r="C54" s="27"/>
      <c r="D54" s="27"/>
      <c r="E54" s="27"/>
      <c r="F54" s="27"/>
      <c r="G54" s="27"/>
      <c r="H54" s="27"/>
    </row>
    <row r="55" spans="1:8" ht="15.75" customHeight="1">
      <c r="A55" s="27"/>
      <c r="B55" s="27"/>
      <c r="C55" s="27"/>
      <c r="D55" s="27"/>
      <c r="E55" s="27"/>
      <c r="F55" s="27"/>
      <c r="G55" s="27"/>
      <c r="H55" s="27"/>
    </row>
    <row r="56" spans="1:8" ht="15.75" customHeight="1">
      <c r="A56" s="27"/>
      <c r="B56" s="27"/>
      <c r="C56" s="27"/>
      <c r="D56" s="27"/>
      <c r="E56" s="27"/>
      <c r="F56" s="27"/>
      <c r="G56" s="27"/>
      <c r="H56" s="27"/>
    </row>
    <row r="57" spans="1:8" ht="15.75" customHeight="1">
      <c r="A57" s="27"/>
      <c r="B57" s="27"/>
      <c r="C57" s="27"/>
      <c r="D57" s="27"/>
      <c r="E57" s="27"/>
      <c r="F57" s="27"/>
      <c r="G57" s="27"/>
      <c r="H57" s="27"/>
    </row>
    <row r="58" spans="1:8" ht="15.75" customHeight="1">
      <c r="A58" s="27"/>
      <c r="B58" s="27"/>
      <c r="C58" s="27"/>
      <c r="D58" s="27"/>
      <c r="E58" s="27"/>
      <c r="F58" s="27"/>
      <c r="G58" s="27"/>
      <c r="H58" s="27"/>
    </row>
    <row r="59" spans="1:8" ht="15.75" customHeight="1">
      <c r="A59" s="27"/>
      <c r="B59" s="27"/>
      <c r="C59" s="27"/>
      <c r="D59" s="27"/>
      <c r="E59" s="27"/>
      <c r="F59" s="27"/>
      <c r="G59" s="27"/>
      <c r="H59" s="27"/>
    </row>
    <row r="60" spans="1:8" ht="15.75" customHeight="1">
      <c r="A60" s="27"/>
      <c r="B60" s="27"/>
      <c r="C60" s="27"/>
      <c r="D60" s="27"/>
      <c r="E60" s="27"/>
      <c r="F60" s="27"/>
      <c r="G60" s="27"/>
      <c r="H60" s="27"/>
    </row>
    <row r="61" spans="1:8" s="6" customFormat="1" ht="14.25">
      <c r="A61" s="28" t="s">
        <v>42</v>
      </c>
      <c r="B61" s="28"/>
      <c r="C61" s="28"/>
      <c r="D61" s="28"/>
      <c r="E61" s="28"/>
      <c r="F61" s="28"/>
      <c r="G61" s="28"/>
      <c r="H61" s="28"/>
    </row>
    <row r="62" spans="2:8" s="6" customFormat="1" ht="19.5">
      <c r="B62" s="29" t="s">
        <v>58</v>
      </c>
      <c r="C62" s="29"/>
      <c r="D62" s="16">
        <f>0.1*E29/1000*F10*POWER(C10,2)</f>
        <v>611263.73</v>
      </c>
      <c r="E62" s="6" t="s">
        <v>43</v>
      </c>
      <c r="F62" s="34"/>
      <c r="G62" s="34"/>
      <c r="H62" s="34"/>
    </row>
    <row r="63" spans="2:7" s="6" customFormat="1" ht="16.5">
      <c r="B63" s="28" t="s">
        <v>53</v>
      </c>
      <c r="C63" s="28"/>
      <c r="D63" s="17">
        <f>D62/G8</f>
        <v>120.32750590551181</v>
      </c>
      <c r="E63" s="6" t="s">
        <v>44</v>
      </c>
      <c r="F63" s="4" t="s">
        <v>45</v>
      </c>
      <c r="G63" s="14" t="s">
        <v>110</v>
      </c>
    </row>
    <row r="64" spans="1:8" s="6" customFormat="1" ht="16.5">
      <c r="A64" s="6" t="s">
        <v>46</v>
      </c>
      <c r="B64" s="34" t="s">
        <v>111</v>
      </c>
      <c r="C64" s="34"/>
      <c r="D64" s="34"/>
      <c r="E64" s="18">
        <v>205</v>
      </c>
      <c r="F64" s="6" t="s">
        <v>54</v>
      </c>
      <c r="G64" s="34"/>
      <c r="H64" s="34"/>
    </row>
    <row r="65" spans="1:8" s="6" customFormat="1" ht="14.25">
      <c r="A65" s="28" t="s">
        <v>47</v>
      </c>
      <c r="B65" s="28"/>
      <c r="C65" s="28"/>
      <c r="D65" s="28"/>
      <c r="E65" s="28"/>
      <c r="F65" s="28"/>
      <c r="G65" s="28"/>
      <c r="H65" s="28"/>
    </row>
    <row r="66" spans="1:8" s="6" customFormat="1" ht="14.25">
      <c r="A66" s="28" t="s">
        <v>48</v>
      </c>
      <c r="B66" s="28"/>
      <c r="C66" s="28"/>
      <c r="D66" s="28"/>
      <c r="E66" s="28"/>
      <c r="F66" s="28"/>
      <c r="G66" s="28"/>
      <c r="H66" s="28"/>
    </row>
    <row r="67" spans="2:8" s="6" customFormat="1" ht="19.5">
      <c r="B67" s="34" t="s">
        <v>59</v>
      </c>
      <c r="C67" s="34"/>
      <c r="D67" s="34"/>
      <c r="E67" s="13">
        <f>0.677*E30/1000*F10*POWER(C10,4)/(100*G9*C9)</f>
        <v>0.6726982909272282</v>
      </c>
      <c r="F67" s="6" t="s">
        <v>49</v>
      </c>
      <c r="G67" s="4" t="s">
        <v>45</v>
      </c>
      <c r="H67" s="14" t="s">
        <v>50</v>
      </c>
    </row>
    <row r="68" spans="1:8" s="6" customFormat="1" ht="14.25">
      <c r="A68" s="6" t="s">
        <v>46</v>
      </c>
      <c r="B68" s="28" t="s">
        <v>51</v>
      </c>
      <c r="C68" s="28"/>
      <c r="D68" s="28"/>
      <c r="E68" s="28"/>
      <c r="F68" s="28"/>
      <c r="G68" s="28"/>
      <c r="H68" s="28"/>
    </row>
    <row r="69" spans="2:8" s="6" customFormat="1" ht="18.75">
      <c r="B69" s="34" t="s">
        <v>60</v>
      </c>
      <c r="C69" s="34"/>
      <c r="D69" s="6">
        <f>C10/500</f>
        <v>1.4</v>
      </c>
      <c r="E69" s="6" t="s">
        <v>49</v>
      </c>
      <c r="F69" s="34"/>
      <c r="G69" s="34"/>
      <c r="H69" s="34"/>
    </row>
    <row r="70" spans="1:8" s="6" customFormat="1" ht="14.25">
      <c r="A70" s="28" t="s">
        <v>47</v>
      </c>
      <c r="B70" s="28"/>
      <c r="C70" s="28"/>
      <c r="D70" s="28"/>
      <c r="E70" s="28"/>
      <c r="F70" s="28"/>
      <c r="G70" s="28"/>
      <c r="H70" s="28"/>
    </row>
    <row r="71" spans="1:8" ht="15.75" customHeight="1">
      <c r="A71" s="27"/>
      <c r="B71" s="27"/>
      <c r="C71" s="27"/>
      <c r="D71" s="27"/>
      <c r="E71" s="27"/>
      <c r="F71" s="27"/>
      <c r="G71" s="27"/>
      <c r="H71" s="27"/>
    </row>
    <row r="72" spans="1:8" s="6" customFormat="1" ht="14.25">
      <c r="A72" s="28" t="s">
        <v>67</v>
      </c>
      <c r="B72" s="28"/>
      <c r="C72" s="28"/>
      <c r="D72" s="28"/>
      <c r="E72" s="28"/>
      <c r="F72" s="28"/>
      <c r="G72" s="28"/>
      <c r="H72" s="28"/>
    </row>
    <row r="73" spans="1:8" s="6" customFormat="1" ht="18.75" customHeight="1">
      <c r="A73" s="28" t="s">
        <v>70</v>
      </c>
      <c r="B73" s="28"/>
      <c r="C73" s="28"/>
      <c r="D73" s="28"/>
      <c r="E73" s="28"/>
      <c r="F73" s="28"/>
      <c r="G73" s="19">
        <f>(38.4*(C10+F10*(E11+1))/1000+15*(2+E11))*H5*1.2</f>
        <v>614.24</v>
      </c>
      <c r="H73" s="5" t="s">
        <v>61</v>
      </c>
    </row>
    <row r="74" spans="1:8" s="6" customFormat="1" ht="14.25">
      <c r="A74" s="28" t="s">
        <v>95</v>
      </c>
      <c r="B74" s="28"/>
      <c r="C74" s="28"/>
      <c r="D74" s="28"/>
      <c r="E74" s="28"/>
      <c r="F74" s="28"/>
      <c r="G74" s="28"/>
      <c r="H74" s="28"/>
    </row>
    <row r="75" spans="2:8" s="6" customFormat="1" ht="18.75">
      <c r="B75" s="28" t="s">
        <v>68</v>
      </c>
      <c r="C75" s="28"/>
      <c r="D75" s="28"/>
      <c r="E75" s="20">
        <f>E29*(C10/1000)*(F10/1000)+G73/1000</f>
        <v>9.346578999999998</v>
      </c>
      <c r="F75" s="6" t="s">
        <v>62</v>
      </c>
      <c r="G75" s="34"/>
      <c r="H75" s="34"/>
    </row>
    <row r="76" spans="1:8" s="6" customFormat="1" ht="14.25">
      <c r="A76" s="28" t="s">
        <v>63</v>
      </c>
      <c r="B76" s="28"/>
      <c r="C76" s="28"/>
      <c r="D76" s="28"/>
      <c r="E76" s="28"/>
      <c r="F76" s="28"/>
      <c r="G76" s="28"/>
      <c r="H76" s="28"/>
    </row>
    <row r="77" spans="1:8" s="6" customFormat="1" ht="14.25">
      <c r="A77" s="28" t="s">
        <v>64</v>
      </c>
      <c r="B77" s="28"/>
      <c r="C77" s="28"/>
      <c r="D77" s="28"/>
      <c r="E77" s="21">
        <v>11.6</v>
      </c>
      <c r="F77" s="6" t="s">
        <v>65</v>
      </c>
      <c r="G77" s="34"/>
      <c r="H77" s="34"/>
    </row>
    <row r="78" spans="1:8" s="6" customFormat="1" ht="14.25">
      <c r="A78" s="28" t="s">
        <v>66</v>
      </c>
      <c r="B78" s="28"/>
      <c r="C78" s="28"/>
      <c r="D78" s="28"/>
      <c r="E78" s="28"/>
      <c r="F78" s="28"/>
      <c r="G78" s="28"/>
      <c r="H78" s="28"/>
    </row>
    <row r="79" spans="1:8" ht="14.25">
      <c r="A79" s="27"/>
      <c r="B79" s="27"/>
      <c r="C79" s="27"/>
      <c r="D79" s="27"/>
      <c r="E79" s="27"/>
      <c r="F79" s="27"/>
      <c r="G79" s="27"/>
      <c r="H79" s="27"/>
    </row>
  </sheetData>
  <sheetProtection/>
  <mergeCells count="81">
    <mergeCell ref="A76:H76"/>
    <mergeCell ref="A77:D77"/>
    <mergeCell ref="G77:H77"/>
    <mergeCell ref="A78:H78"/>
    <mergeCell ref="A71:H71"/>
    <mergeCell ref="A74:H74"/>
    <mergeCell ref="B75:D75"/>
    <mergeCell ref="G75:H75"/>
    <mergeCell ref="A72:H72"/>
    <mergeCell ref="A73:F73"/>
    <mergeCell ref="B69:C69"/>
    <mergeCell ref="F69:H69"/>
    <mergeCell ref="A70:H70"/>
    <mergeCell ref="A54:H60"/>
    <mergeCell ref="A65:H65"/>
    <mergeCell ref="A66:H66"/>
    <mergeCell ref="B67:D67"/>
    <mergeCell ref="B68:H68"/>
    <mergeCell ref="B62:C62"/>
    <mergeCell ref="F62:H62"/>
    <mergeCell ref="G64:H64"/>
    <mergeCell ref="A52:H52"/>
    <mergeCell ref="A53:H53"/>
    <mergeCell ref="A61:H61"/>
    <mergeCell ref="A46:H46"/>
    <mergeCell ref="B47:D47"/>
    <mergeCell ref="B48:H48"/>
    <mergeCell ref="A79:H79"/>
    <mergeCell ref="B49:C49"/>
    <mergeCell ref="F49:H49"/>
    <mergeCell ref="A50:H50"/>
    <mergeCell ref="A51:H51"/>
    <mergeCell ref="B63:C63"/>
    <mergeCell ref="B64:D64"/>
    <mergeCell ref="B43:C43"/>
    <mergeCell ref="B44:D44"/>
    <mergeCell ref="G44:H44"/>
    <mergeCell ref="A45:H45"/>
    <mergeCell ref="F42:H42"/>
    <mergeCell ref="D28:E28"/>
    <mergeCell ref="B27:C27"/>
    <mergeCell ref="D27:E27"/>
    <mergeCell ref="A33:H33"/>
    <mergeCell ref="A41:H41"/>
    <mergeCell ref="B42:C42"/>
    <mergeCell ref="B30:D30"/>
    <mergeCell ref="A34:H40"/>
    <mergeCell ref="A32:H32"/>
    <mergeCell ref="A11:B11"/>
    <mergeCell ref="F11:H11"/>
    <mergeCell ref="A24:H24"/>
    <mergeCell ref="A8:B8"/>
    <mergeCell ref="D8:F8"/>
    <mergeCell ref="A9:B9"/>
    <mergeCell ref="D9:F9"/>
    <mergeCell ref="A12:H21"/>
    <mergeCell ref="A1:H1"/>
    <mergeCell ref="A3:H3"/>
    <mergeCell ref="C6:D6"/>
    <mergeCell ref="A7:B7"/>
    <mergeCell ref="D5:E5"/>
    <mergeCell ref="A4:B4"/>
    <mergeCell ref="A5:B5"/>
    <mergeCell ref="C7:D7"/>
    <mergeCell ref="B2:H2"/>
    <mergeCell ref="E7:H7"/>
    <mergeCell ref="B28:C28"/>
    <mergeCell ref="B29:D29"/>
    <mergeCell ref="A31:H31"/>
    <mergeCell ref="G29:H29"/>
    <mergeCell ref="G30:H30"/>
    <mergeCell ref="F6:H6"/>
    <mergeCell ref="G10:H10"/>
    <mergeCell ref="B26:C26"/>
    <mergeCell ref="D26:E26"/>
    <mergeCell ref="B25:C25"/>
    <mergeCell ref="A10:B10"/>
    <mergeCell ref="D10:E10"/>
    <mergeCell ref="A22:H22"/>
    <mergeCell ref="D25:E25"/>
    <mergeCell ref="A23:H23"/>
  </mergeCells>
  <printOptions gridLines="1"/>
  <pageMargins left="0.7874015748031497" right="0.7874015748031497" top="0.7874015748031497" bottom="0.7874015748031497" header="0.5118110236220472" footer="0.5118110236220472"/>
  <pageSetup orientation="portrait" paperSize="9" r:id="rId5"/>
  <headerFooter alignWithMargins="0">
    <oddFooter>&amp;R&amp;P</oddFooter>
  </headerFooter>
  <rowBreaks count="1" manualBreakCount="1">
    <brk id="51" max="255" man="1"/>
  </rowBreaks>
  <legacyDrawing r:id="rId4"/>
  <oleObjects>
    <oleObject progId="AutoCAD.Drawing.15" shapeId="1471622" r:id="rId1"/>
    <oleObject progId="AutoCAD.Drawing.15" shapeId="1475737" r:id="rId2"/>
    <oleObject progId="AutoCAD.Drawing.14" shapeId="50658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showGridLines="0" workbookViewId="0" topLeftCell="A1">
      <selection activeCell="A1" sqref="A1:H1"/>
    </sheetView>
  </sheetViews>
  <sheetFormatPr defaultColWidth="9.00390625" defaultRowHeight="14.25"/>
  <cols>
    <col min="1" max="1" width="9.375" style="0" customWidth="1"/>
    <col min="2" max="2" width="10.375" style="0" customWidth="1"/>
    <col min="3" max="3" width="9.50390625" style="0" customWidth="1"/>
    <col min="4" max="5" width="9.875" style="0" customWidth="1"/>
    <col min="6" max="6" width="9.625" style="0" customWidth="1"/>
    <col min="7" max="7" width="9.375" style="0" customWidth="1"/>
    <col min="8" max="8" width="9.875" style="0" customWidth="1"/>
  </cols>
  <sheetData>
    <row r="1" spans="1:9" ht="20.25">
      <c r="A1" s="33" t="s">
        <v>297</v>
      </c>
      <c r="B1" s="33"/>
      <c r="C1" s="33"/>
      <c r="D1" s="33"/>
      <c r="E1" s="33"/>
      <c r="F1" s="33"/>
      <c r="G1" s="33"/>
      <c r="H1" s="33"/>
      <c r="I1" s="4"/>
    </row>
    <row r="2" spans="1:8" s="6" customFormat="1" ht="14.25">
      <c r="A2" s="14" t="s">
        <v>106</v>
      </c>
      <c r="B2" s="28" t="s">
        <v>109</v>
      </c>
      <c r="C2" s="28"/>
      <c r="D2" s="28"/>
      <c r="E2" s="28"/>
      <c r="F2" s="28"/>
      <c r="G2" s="28"/>
      <c r="H2" s="28"/>
    </row>
    <row r="3" spans="1:8" s="6" customFormat="1" ht="14.25">
      <c r="A3" s="28" t="s">
        <v>12</v>
      </c>
      <c r="B3" s="28"/>
      <c r="C3" s="28"/>
      <c r="D3" s="28"/>
      <c r="E3" s="28"/>
      <c r="F3" s="28"/>
      <c r="G3" s="28"/>
      <c r="H3" s="28"/>
    </row>
    <row r="4" spans="1:7" ht="15.75">
      <c r="A4" s="30" t="s">
        <v>0</v>
      </c>
      <c r="B4" s="30"/>
      <c r="C4" s="23">
        <v>8</v>
      </c>
      <c r="D4" s="1" t="s">
        <v>13</v>
      </c>
      <c r="E4" s="23">
        <v>6</v>
      </c>
      <c r="F4" t="s">
        <v>9</v>
      </c>
      <c r="G4" s="23">
        <v>0.16</v>
      </c>
    </row>
    <row r="5" spans="1:8" ht="18.75">
      <c r="A5" s="30" t="s">
        <v>91</v>
      </c>
      <c r="B5" s="30"/>
      <c r="C5" s="23">
        <v>5.2</v>
      </c>
      <c r="D5" s="27" t="s">
        <v>14</v>
      </c>
      <c r="E5" s="27"/>
      <c r="F5" s="23">
        <v>1000</v>
      </c>
      <c r="G5" s="3" t="s">
        <v>69</v>
      </c>
      <c r="H5" s="22">
        <f>C5*1000/F5</f>
        <v>5.2</v>
      </c>
    </row>
    <row r="6" spans="1:8" ht="14.25">
      <c r="A6" s="5" t="s">
        <v>74</v>
      </c>
      <c r="B6" s="36" t="s">
        <v>75</v>
      </c>
      <c r="C6" s="36"/>
      <c r="D6" s="28" t="s">
        <v>16</v>
      </c>
      <c r="E6" s="28"/>
      <c r="F6" s="7">
        <v>0.9</v>
      </c>
      <c r="G6" s="26"/>
      <c r="H6" s="26"/>
    </row>
    <row r="7" spans="1:8" s="6" customFormat="1" ht="18" customHeight="1">
      <c r="A7" s="5" t="s">
        <v>76</v>
      </c>
      <c r="B7" s="34" t="s">
        <v>77</v>
      </c>
      <c r="C7" s="34"/>
      <c r="D7" s="27" t="s">
        <v>78</v>
      </c>
      <c r="E7" s="27"/>
      <c r="F7" s="21">
        <v>12</v>
      </c>
      <c r="G7" s="34"/>
      <c r="H7" s="34"/>
    </row>
    <row r="8" spans="1:8" s="6" customFormat="1" ht="18" customHeight="1">
      <c r="A8" s="5"/>
      <c r="B8" s="37" t="s">
        <v>96</v>
      </c>
      <c r="C8" s="37"/>
      <c r="D8" s="24">
        <f>1000*POWER(F7,3)/12</f>
        <v>144000</v>
      </c>
      <c r="E8" s="38" t="s">
        <v>98</v>
      </c>
      <c r="F8" s="38"/>
      <c r="G8" s="38"/>
      <c r="H8" s="24">
        <f>1000*POWER(F7,2)/6</f>
        <v>24000</v>
      </c>
    </row>
    <row r="9" spans="1:8" s="6" customFormat="1" ht="18" customHeight="1">
      <c r="A9" s="5"/>
      <c r="B9" s="28" t="s">
        <v>97</v>
      </c>
      <c r="C9" s="28"/>
      <c r="D9" s="21">
        <v>4000</v>
      </c>
      <c r="E9" s="34"/>
      <c r="F9" s="34"/>
      <c r="G9" s="34"/>
      <c r="H9" s="34"/>
    </row>
    <row r="10" spans="1:8" s="6" customFormat="1" ht="18" customHeight="1">
      <c r="A10" s="28" t="s">
        <v>79</v>
      </c>
      <c r="B10" s="28"/>
      <c r="C10" s="18" t="s">
        <v>80</v>
      </c>
      <c r="D10" s="34"/>
      <c r="E10" s="34"/>
      <c r="F10" s="34"/>
      <c r="G10" s="34"/>
      <c r="H10" s="34"/>
    </row>
    <row r="11" spans="2:8" s="6" customFormat="1" ht="18" customHeight="1">
      <c r="B11" s="28" t="s">
        <v>81</v>
      </c>
      <c r="C11" s="28"/>
      <c r="D11" s="21">
        <v>50</v>
      </c>
      <c r="E11" s="28" t="s">
        <v>82</v>
      </c>
      <c r="F11" s="28"/>
      <c r="G11" s="21">
        <v>100</v>
      </c>
      <c r="H11" s="7"/>
    </row>
    <row r="12" spans="1:8" s="6" customFormat="1" ht="18" customHeight="1">
      <c r="A12" s="15"/>
      <c r="B12" s="37" t="s">
        <v>99</v>
      </c>
      <c r="C12" s="37"/>
      <c r="D12" s="24">
        <f>D11*POWER(G11,3)/12</f>
        <v>4166666.6666666665</v>
      </c>
      <c r="E12" s="37" t="s">
        <v>100</v>
      </c>
      <c r="F12" s="37"/>
      <c r="G12" s="37"/>
      <c r="H12" s="24">
        <f>D11*POWER(G11,2)/6</f>
        <v>83333.33333333333</v>
      </c>
    </row>
    <row r="13" spans="1:8" s="6" customFormat="1" ht="18" customHeight="1">
      <c r="A13" s="15"/>
      <c r="B13" s="28" t="s">
        <v>101</v>
      </c>
      <c r="C13" s="28"/>
      <c r="D13" s="28"/>
      <c r="E13" s="14">
        <v>10000</v>
      </c>
      <c r="F13" s="38"/>
      <c r="G13" s="38"/>
      <c r="H13" s="38"/>
    </row>
    <row r="14" spans="1:8" s="6" customFormat="1" ht="18" customHeight="1">
      <c r="A14" s="5"/>
      <c r="B14" s="28" t="s">
        <v>83</v>
      </c>
      <c r="C14" s="28"/>
      <c r="D14" s="8">
        <v>125</v>
      </c>
      <c r="E14" s="10" t="s">
        <v>35</v>
      </c>
      <c r="F14" s="23">
        <v>3</v>
      </c>
      <c r="G14" s="35"/>
      <c r="H14" s="35"/>
    </row>
    <row r="15" spans="1:8" ht="15.75">
      <c r="A15" s="30" t="s">
        <v>84</v>
      </c>
      <c r="B15" s="30"/>
      <c r="C15" s="31" t="s">
        <v>10</v>
      </c>
      <c r="D15" s="31"/>
      <c r="E15" s="27"/>
      <c r="F15" s="27"/>
      <c r="G15" s="27"/>
      <c r="H15" s="27"/>
    </row>
    <row r="16" spans="1:7" ht="18.75">
      <c r="A16" s="30" t="s">
        <v>1</v>
      </c>
      <c r="B16" s="30"/>
      <c r="C16" s="8">
        <v>489</v>
      </c>
      <c r="D16" s="30" t="s">
        <v>94</v>
      </c>
      <c r="E16" s="30"/>
      <c r="F16" s="30"/>
      <c r="G16" s="8">
        <v>5080</v>
      </c>
    </row>
    <row r="17" spans="1:7" ht="18.75">
      <c r="A17" s="30" t="s">
        <v>2</v>
      </c>
      <c r="B17" s="30"/>
      <c r="C17" s="9">
        <v>121900</v>
      </c>
      <c r="D17" s="30" t="s">
        <v>3</v>
      </c>
      <c r="E17" s="30"/>
      <c r="F17" s="30"/>
      <c r="G17" s="8">
        <v>206000</v>
      </c>
    </row>
    <row r="18" spans="1:6" ht="19.5">
      <c r="A18" s="30" t="s">
        <v>36</v>
      </c>
      <c r="B18" s="30"/>
      <c r="C18" s="23">
        <v>1000</v>
      </c>
      <c r="D18" s="30" t="s">
        <v>37</v>
      </c>
      <c r="E18" s="30"/>
      <c r="F18" s="23">
        <v>1000</v>
      </c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27"/>
      <c r="B28" s="27"/>
      <c r="C28" s="27"/>
      <c r="D28" s="27"/>
      <c r="E28" s="27"/>
      <c r="F28" s="27"/>
      <c r="G28" s="27"/>
      <c r="H28" s="27"/>
    </row>
    <row r="29" spans="1:8" ht="14.25">
      <c r="A29" s="31"/>
      <c r="B29" s="31"/>
      <c r="C29" s="31"/>
      <c r="D29" s="31"/>
      <c r="E29" s="31"/>
      <c r="F29" s="31"/>
      <c r="G29" s="31"/>
      <c r="H29" s="31"/>
    </row>
    <row r="30" spans="1:8" s="6" customFormat="1" ht="14.25">
      <c r="A30" s="28" t="s">
        <v>19</v>
      </c>
      <c r="B30" s="28"/>
      <c r="C30" s="28"/>
      <c r="D30" s="28"/>
      <c r="E30" s="28"/>
      <c r="F30" s="28"/>
      <c r="G30" s="28"/>
      <c r="H30" s="28"/>
    </row>
    <row r="31" spans="1:8" ht="14.25">
      <c r="A31" s="30" t="s">
        <v>38</v>
      </c>
      <c r="B31" s="30"/>
      <c r="C31" s="30"/>
      <c r="D31" s="30"/>
      <c r="E31" s="30"/>
      <c r="F31" s="30"/>
      <c r="G31" s="30"/>
      <c r="H31" s="30"/>
    </row>
    <row r="32" spans="1:7" s="6" customFormat="1" ht="16.5">
      <c r="A32" s="11" t="s">
        <v>20</v>
      </c>
      <c r="B32" s="28" t="s">
        <v>21</v>
      </c>
      <c r="C32" s="28"/>
      <c r="D32" s="29" t="s">
        <v>87</v>
      </c>
      <c r="E32" s="29"/>
      <c r="F32" s="12">
        <f>0.5*1.2</f>
        <v>0.6</v>
      </c>
      <c r="G32" s="6" t="s">
        <v>41</v>
      </c>
    </row>
    <row r="33" spans="1:7" s="6" customFormat="1" ht="16.5">
      <c r="A33" s="11" t="s">
        <v>22</v>
      </c>
      <c r="B33" s="28" t="s">
        <v>23</v>
      </c>
      <c r="C33" s="28"/>
      <c r="D33" s="29" t="s">
        <v>32</v>
      </c>
      <c r="E33" s="29"/>
      <c r="F33" s="12">
        <f>24*G4*1.2</f>
        <v>4.608</v>
      </c>
      <c r="G33" s="6" t="s">
        <v>41</v>
      </c>
    </row>
    <row r="34" spans="1:7" s="6" customFormat="1" ht="16.5">
      <c r="A34" s="11" t="s">
        <v>24</v>
      </c>
      <c r="B34" s="28" t="s">
        <v>25</v>
      </c>
      <c r="C34" s="28"/>
      <c r="D34" s="29" t="s">
        <v>88</v>
      </c>
      <c r="E34" s="29"/>
      <c r="F34" s="12">
        <f>1.1*G4*1.2</f>
        <v>0.21120000000000003</v>
      </c>
      <c r="G34" s="6" t="s">
        <v>41</v>
      </c>
    </row>
    <row r="35" spans="1:7" s="6" customFormat="1" ht="16.5">
      <c r="A35" s="11" t="s">
        <v>26</v>
      </c>
      <c r="B35" s="28" t="s">
        <v>92</v>
      </c>
      <c r="C35" s="28"/>
      <c r="D35" s="29" t="s">
        <v>93</v>
      </c>
      <c r="E35" s="29"/>
      <c r="F35" s="12">
        <f>2.5*1.4</f>
        <v>3.5</v>
      </c>
      <c r="G35" s="6" t="s">
        <v>41</v>
      </c>
    </row>
    <row r="36" spans="1:8" s="6" customFormat="1" ht="15.75" customHeight="1">
      <c r="A36" s="6" t="s">
        <v>27</v>
      </c>
      <c r="B36" s="32" t="s">
        <v>28</v>
      </c>
      <c r="C36" s="32"/>
      <c r="D36" s="32"/>
      <c r="E36" s="13">
        <f>F6*(F32+F33+F34+F35)</f>
        <v>8.027280000000001</v>
      </c>
      <c r="F36" s="15" t="s">
        <v>41</v>
      </c>
      <c r="G36" s="28" t="s">
        <v>29</v>
      </c>
      <c r="H36" s="28"/>
    </row>
    <row r="37" spans="2:8" s="6" customFormat="1" ht="15.75" customHeight="1">
      <c r="B37" s="32" t="s">
        <v>30</v>
      </c>
      <c r="C37" s="32"/>
      <c r="D37" s="32"/>
      <c r="E37" s="13">
        <f>F6*(F32+F33+F34)</f>
        <v>4.877279999999999</v>
      </c>
      <c r="F37" s="15" t="s">
        <v>41</v>
      </c>
      <c r="G37" s="28" t="s">
        <v>31</v>
      </c>
      <c r="H37" s="28"/>
    </row>
    <row r="38" spans="1:8" ht="15.75" customHeight="1">
      <c r="A38" s="31"/>
      <c r="B38" s="31"/>
      <c r="C38" s="31"/>
      <c r="D38" s="31"/>
      <c r="E38" s="31"/>
      <c r="F38" s="31"/>
      <c r="G38" s="31"/>
      <c r="H38" s="31"/>
    </row>
    <row r="39" spans="1:8" ht="15.75" customHeight="1">
      <c r="A39" s="30" t="s">
        <v>71</v>
      </c>
      <c r="B39" s="30"/>
      <c r="C39" s="30"/>
      <c r="D39" s="30"/>
      <c r="E39" s="30"/>
      <c r="F39" s="30"/>
      <c r="G39" s="30"/>
      <c r="H39" s="30"/>
    </row>
    <row r="40" spans="1:8" ht="15.75" customHeight="1">
      <c r="A40" s="30" t="s">
        <v>40</v>
      </c>
      <c r="B40" s="30"/>
      <c r="C40" s="30"/>
      <c r="D40" s="30"/>
      <c r="E40" s="30"/>
      <c r="F40" s="30"/>
      <c r="G40" s="30"/>
      <c r="H40" s="30"/>
    </row>
    <row r="41" spans="1:8" ht="15.75" customHeight="1">
      <c r="A41" s="31"/>
      <c r="B41" s="31"/>
      <c r="C41" s="31"/>
      <c r="D41" s="31"/>
      <c r="E41" s="31"/>
      <c r="F41" s="31"/>
      <c r="G41" s="31"/>
      <c r="H41" s="31"/>
    </row>
    <row r="42" spans="1:8" ht="15.75" customHeight="1">
      <c r="A42" s="31"/>
      <c r="B42" s="31"/>
      <c r="C42" s="31"/>
      <c r="D42" s="31"/>
      <c r="E42" s="31"/>
      <c r="F42" s="31"/>
      <c r="G42" s="31"/>
      <c r="H42" s="31"/>
    </row>
    <row r="43" spans="1:8" ht="15.75" customHeight="1">
      <c r="A43" s="31"/>
      <c r="B43" s="31"/>
      <c r="C43" s="31"/>
      <c r="D43" s="31"/>
      <c r="E43" s="31"/>
      <c r="F43" s="31"/>
      <c r="G43" s="31"/>
      <c r="H43" s="31"/>
    </row>
    <row r="44" spans="1:8" ht="15.75" customHeight="1">
      <c r="A44" s="31"/>
      <c r="B44" s="31"/>
      <c r="C44" s="31"/>
      <c r="D44" s="31"/>
      <c r="E44" s="31"/>
      <c r="F44" s="31"/>
      <c r="G44" s="31"/>
      <c r="H44" s="31"/>
    </row>
    <row r="45" spans="1:8" ht="15.75" customHeight="1">
      <c r="A45" s="31"/>
      <c r="B45" s="31"/>
      <c r="C45" s="31"/>
      <c r="D45" s="31"/>
      <c r="E45" s="31"/>
      <c r="F45" s="31"/>
      <c r="G45" s="31"/>
      <c r="H45" s="31"/>
    </row>
    <row r="46" spans="1:8" ht="15.75" customHeight="1">
      <c r="A46" s="31"/>
      <c r="B46" s="31"/>
      <c r="C46" s="31"/>
      <c r="D46" s="31"/>
      <c r="E46" s="31"/>
      <c r="F46" s="31"/>
      <c r="G46" s="31"/>
      <c r="H46" s="31"/>
    </row>
    <row r="47" spans="1:8" s="6" customFormat="1" ht="14.25">
      <c r="A47" s="28" t="s">
        <v>42</v>
      </c>
      <c r="B47" s="28"/>
      <c r="C47" s="28"/>
      <c r="D47" s="28"/>
      <c r="E47" s="28"/>
      <c r="F47" s="28"/>
      <c r="G47" s="28"/>
      <c r="H47" s="28"/>
    </row>
    <row r="48" spans="2:8" s="6" customFormat="1" ht="19.5">
      <c r="B48" s="29" t="s">
        <v>85</v>
      </c>
      <c r="C48" s="29"/>
      <c r="D48" s="29"/>
      <c r="E48" s="16">
        <f>0.1*E36/1000*1000*POWER(D14,2)</f>
        <v>12542.625000000002</v>
      </c>
      <c r="F48" s="6" t="s">
        <v>43</v>
      </c>
      <c r="G48" s="14"/>
      <c r="H48" s="14"/>
    </row>
    <row r="49" spans="2:7" s="6" customFormat="1" ht="18.75">
      <c r="B49" s="28" t="s">
        <v>102</v>
      </c>
      <c r="C49" s="28"/>
      <c r="D49" s="17">
        <f>E48/H8</f>
        <v>0.522609375</v>
      </c>
      <c r="E49" s="6" t="s">
        <v>44</v>
      </c>
      <c r="F49" s="4" t="s">
        <v>45</v>
      </c>
      <c r="G49" s="3" t="s">
        <v>112</v>
      </c>
    </row>
    <row r="50" spans="1:8" s="6" customFormat="1" ht="18.75">
      <c r="A50" s="6" t="s">
        <v>46</v>
      </c>
      <c r="B50" s="30" t="s">
        <v>113</v>
      </c>
      <c r="C50" s="28"/>
      <c r="D50" s="28"/>
      <c r="E50" s="18">
        <v>20</v>
      </c>
      <c r="F50" s="6" t="s">
        <v>54</v>
      </c>
      <c r="G50" s="34"/>
      <c r="H50" s="34"/>
    </row>
    <row r="51" spans="1:8" s="6" customFormat="1" ht="14.25">
      <c r="A51" s="28" t="s">
        <v>47</v>
      </c>
      <c r="B51" s="28"/>
      <c r="C51" s="28"/>
      <c r="D51" s="28"/>
      <c r="E51" s="28"/>
      <c r="F51" s="28"/>
      <c r="G51" s="28"/>
      <c r="H51" s="28"/>
    </row>
    <row r="52" spans="1:8" s="6" customFormat="1" ht="14.25">
      <c r="A52" s="28" t="s">
        <v>48</v>
      </c>
      <c r="B52" s="28"/>
      <c r="C52" s="28"/>
      <c r="D52" s="28"/>
      <c r="E52" s="28"/>
      <c r="F52" s="28"/>
      <c r="G52" s="28"/>
      <c r="H52" s="28"/>
    </row>
    <row r="53" spans="2:8" s="6" customFormat="1" ht="19.5">
      <c r="B53" s="34" t="s">
        <v>103</v>
      </c>
      <c r="C53" s="34"/>
      <c r="D53" s="34"/>
      <c r="E53" s="13">
        <f>0.677*E37/1000*1000*POWER(D14,4)/(100*D9*D8)</f>
        <v>0.013995355224609374</v>
      </c>
      <c r="F53" s="6" t="s">
        <v>49</v>
      </c>
      <c r="G53" s="4" t="s">
        <v>45</v>
      </c>
      <c r="H53" s="14" t="s">
        <v>50</v>
      </c>
    </row>
    <row r="54" spans="1:8" s="6" customFormat="1" ht="14.25">
      <c r="A54" s="6" t="s">
        <v>46</v>
      </c>
      <c r="B54" s="28" t="s">
        <v>51</v>
      </c>
      <c r="C54" s="28"/>
      <c r="D54" s="28"/>
      <c r="E54" s="28"/>
      <c r="F54" s="28"/>
      <c r="G54" s="28"/>
      <c r="H54" s="28"/>
    </row>
    <row r="55" spans="2:8" s="6" customFormat="1" ht="18.75">
      <c r="B55" s="34" t="s">
        <v>86</v>
      </c>
      <c r="C55" s="34"/>
      <c r="D55" s="6">
        <f>D14/400</f>
        <v>0.3125</v>
      </c>
      <c r="E55" s="6" t="s">
        <v>49</v>
      </c>
      <c r="F55" s="34"/>
      <c r="G55" s="34"/>
      <c r="H55" s="34"/>
    </row>
    <row r="56" spans="1:8" s="6" customFormat="1" ht="14.25">
      <c r="A56" s="28" t="s">
        <v>47</v>
      </c>
      <c r="B56" s="28"/>
      <c r="C56" s="28"/>
      <c r="D56" s="28"/>
      <c r="E56" s="28"/>
      <c r="F56" s="28"/>
      <c r="G56" s="28"/>
      <c r="H56" s="28"/>
    </row>
    <row r="57" spans="1:8" ht="15.75" customHeight="1">
      <c r="A57" s="31"/>
      <c r="B57" s="31"/>
      <c r="C57" s="31"/>
      <c r="D57" s="31"/>
      <c r="E57" s="31"/>
      <c r="F57" s="31"/>
      <c r="G57" s="31"/>
      <c r="H57" s="31"/>
    </row>
    <row r="58" spans="1:8" ht="15.75" customHeight="1">
      <c r="A58" s="30" t="s">
        <v>89</v>
      </c>
      <c r="B58" s="30"/>
      <c r="C58" s="30"/>
      <c r="D58" s="30"/>
      <c r="E58" s="30"/>
      <c r="F58" s="30"/>
      <c r="G58" s="30"/>
      <c r="H58" s="30"/>
    </row>
    <row r="59" spans="1:8" ht="15.75" customHeight="1">
      <c r="A59" s="30" t="s">
        <v>40</v>
      </c>
      <c r="B59" s="30"/>
      <c r="C59" s="30"/>
      <c r="D59" s="30"/>
      <c r="E59" s="30"/>
      <c r="F59" s="30"/>
      <c r="G59" s="30"/>
      <c r="H59" s="30"/>
    </row>
    <row r="60" spans="1:8" ht="15.75" customHeight="1">
      <c r="A60" s="27"/>
      <c r="B60" s="27"/>
      <c r="C60" s="27"/>
      <c r="D60" s="27"/>
      <c r="E60" s="27"/>
      <c r="F60" s="27"/>
      <c r="G60" s="27"/>
      <c r="H60" s="27"/>
    </row>
    <row r="61" spans="1:8" ht="15.75" customHeight="1">
      <c r="A61" s="27"/>
      <c r="B61" s="27"/>
      <c r="C61" s="27"/>
      <c r="D61" s="27"/>
      <c r="E61" s="27"/>
      <c r="F61" s="27"/>
      <c r="G61" s="27"/>
      <c r="H61" s="27"/>
    </row>
    <row r="62" spans="1:8" ht="15.75" customHeight="1">
      <c r="A62" s="27"/>
      <c r="B62" s="27"/>
      <c r="C62" s="27"/>
      <c r="D62" s="27"/>
      <c r="E62" s="27"/>
      <c r="F62" s="27"/>
      <c r="G62" s="27"/>
      <c r="H62" s="27"/>
    </row>
    <row r="63" spans="1:8" ht="15.75" customHeight="1">
      <c r="A63" s="27"/>
      <c r="B63" s="27"/>
      <c r="C63" s="27"/>
      <c r="D63" s="27"/>
      <c r="E63" s="27"/>
      <c r="F63" s="27"/>
      <c r="G63" s="27"/>
      <c r="H63" s="27"/>
    </row>
    <row r="64" spans="1:8" ht="15.75" customHeight="1">
      <c r="A64" s="27"/>
      <c r="B64" s="27"/>
      <c r="C64" s="27"/>
      <c r="D64" s="27"/>
      <c r="E64" s="27"/>
      <c r="F64" s="27"/>
      <c r="G64" s="27"/>
      <c r="H64" s="27"/>
    </row>
    <row r="65" spans="1:8" ht="15.75" customHeight="1">
      <c r="A65" s="27"/>
      <c r="B65" s="27"/>
      <c r="C65" s="27"/>
      <c r="D65" s="27"/>
      <c r="E65" s="27"/>
      <c r="F65" s="27"/>
      <c r="G65" s="27"/>
      <c r="H65" s="27"/>
    </row>
    <row r="66" spans="1:8" ht="15.75" customHeight="1">
      <c r="A66" s="27"/>
      <c r="B66" s="27"/>
      <c r="C66" s="27"/>
      <c r="D66" s="27"/>
      <c r="E66" s="27"/>
      <c r="F66" s="27"/>
      <c r="G66" s="27"/>
      <c r="H66" s="27"/>
    </row>
    <row r="67" spans="1:8" s="6" customFormat="1" ht="14.25">
      <c r="A67" s="28" t="s">
        <v>42</v>
      </c>
      <c r="B67" s="28"/>
      <c r="C67" s="28"/>
      <c r="D67" s="28"/>
      <c r="E67" s="28"/>
      <c r="F67" s="28"/>
      <c r="G67" s="28"/>
      <c r="H67" s="28"/>
    </row>
    <row r="68" spans="2:8" s="6" customFormat="1" ht="19.5">
      <c r="B68" s="29" t="s">
        <v>90</v>
      </c>
      <c r="C68" s="29"/>
      <c r="D68" s="29"/>
      <c r="E68" s="16">
        <f>0.125*E36/1000*D14*POWER(F18,2)</f>
        <v>125426.25000000001</v>
      </c>
      <c r="F68" s="6" t="s">
        <v>43</v>
      </c>
      <c r="G68" s="34"/>
      <c r="H68" s="34"/>
    </row>
    <row r="69" spans="2:7" s="6" customFormat="1" ht="18.75">
      <c r="B69" s="28" t="s">
        <v>104</v>
      </c>
      <c r="C69" s="28"/>
      <c r="D69" s="17">
        <f>E68/H12</f>
        <v>1.5051150000000002</v>
      </c>
      <c r="E69" s="6" t="s">
        <v>44</v>
      </c>
      <c r="F69" s="4" t="s">
        <v>45</v>
      </c>
      <c r="G69" s="3" t="s">
        <v>112</v>
      </c>
    </row>
    <row r="70" spans="1:8" s="6" customFormat="1" ht="18.75">
      <c r="A70" s="6" t="s">
        <v>46</v>
      </c>
      <c r="B70" s="30" t="s">
        <v>114</v>
      </c>
      <c r="C70" s="30"/>
      <c r="D70" s="30"/>
      <c r="E70" s="30"/>
      <c r="F70" s="18">
        <v>13</v>
      </c>
      <c r="G70" s="6" t="s">
        <v>54</v>
      </c>
      <c r="H70" s="14"/>
    </row>
    <row r="71" spans="1:8" s="6" customFormat="1" ht="14.25">
      <c r="A71" s="28" t="s">
        <v>47</v>
      </c>
      <c r="B71" s="28"/>
      <c r="C71" s="28"/>
      <c r="D71" s="28"/>
      <c r="E71" s="28"/>
      <c r="F71" s="28"/>
      <c r="G71" s="28"/>
      <c r="H71" s="28"/>
    </row>
    <row r="72" spans="1:8" s="6" customFormat="1" ht="14.25">
      <c r="A72" s="28" t="s">
        <v>48</v>
      </c>
      <c r="B72" s="28"/>
      <c r="C72" s="28"/>
      <c r="D72" s="28"/>
      <c r="E72" s="28"/>
      <c r="F72" s="28"/>
      <c r="G72" s="28"/>
      <c r="H72" s="28"/>
    </row>
    <row r="73" spans="2:8" s="6" customFormat="1" ht="19.5">
      <c r="B73" s="34" t="s">
        <v>105</v>
      </c>
      <c r="C73" s="34"/>
      <c r="D73" s="34"/>
      <c r="E73" s="13">
        <f>5*E37/1000*D14*POWER(F18,4)/(384*E13*D12)</f>
        <v>0.19051874999999996</v>
      </c>
      <c r="F73" s="6" t="s">
        <v>49</v>
      </c>
      <c r="G73" s="4" t="s">
        <v>45</v>
      </c>
      <c r="H73" s="14" t="s">
        <v>50</v>
      </c>
    </row>
    <row r="74" spans="1:8" s="6" customFormat="1" ht="14.25">
      <c r="A74" s="6" t="s">
        <v>46</v>
      </c>
      <c r="B74" s="28" t="s">
        <v>51</v>
      </c>
      <c r="C74" s="28"/>
      <c r="D74" s="28"/>
      <c r="E74" s="28"/>
      <c r="F74" s="28"/>
      <c r="G74" s="28"/>
      <c r="H74" s="28"/>
    </row>
    <row r="75" spans="2:8" s="6" customFormat="1" ht="18.75">
      <c r="B75" s="34" t="s">
        <v>56</v>
      </c>
      <c r="C75" s="34"/>
      <c r="D75" s="6">
        <f>F18/500</f>
        <v>2</v>
      </c>
      <c r="E75" s="6" t="s">
        <v>49</v>
      </c>
      <c r="F75" s="34"/>
      <c r="G75" s="34"/>
      <c r="H75" s="34"/>
    </row>
    <row r="76" spans="1:8" s="6" customFormat="1" ht="14.25">
      <c r="A76" s="28" t="s">
        <v>47</v>
      </c>
      <c r="B76" s="28"/>
      <c r="C76" s="28"/>
      <c r="D76" s="28"/>
      <c r="E76" s="28"/>
      <c r="F76" s="28"/>
      <c r="G76" s="28"/>
      <c r="H76" s="28"/>
    </row>
    <row r="77" spans="1:8" s="6" customFormat="1" ht="14.25">
      <c r="A77" s="34"/>
      <c r="B77" s="34"/>
      <c r="C77" s="34"/>
      <c r="D77" s="34"/>
      <c r="E77" s="34"/>
      <c r="F77" s="34"/>
      <c r="G77" s="34"/>
      <c r="H77" s="34"/>
    </row>
    <row r="78" spans="1:8" ht="15.75" customHeight="1">
      <c r="A78" s="30" t="s">
        <v>72</v>
      </c>
      <c r="B78" s="30"/>
      <c r="C78" s="30"/>
      <c r="D78" s="30"/>
      <c r="E78" s="30"/>
      <c r="F78" s="30"/>
      <c r="G78" s="30"/>
      <c r="H78" s="30"/>
    </row>
    <row r="79" spans="1:8" ht="15.75" customHeight="1">
      <c r="A79" s="30" t="s">
        <v>40</v>
      </c>
      <c r="B79" s="30"/>
      <c r="C79" s="30"/>
      <c r="D79" s="30"/>
      <c r="E79" s="30"/>
      <c r="F79" s="30"/>
      <c r="G79" s="30"/>
      <c r="H79" s="30"/>
    </row>
    <row r="80" spans="1:8" ht="15.75" customHeight="1">
      <c r="A80" s="27"/>
      <c r="B80" s="27"/>
      <c r="C80" s="27"/>
      <c r="D80" s="27"/>
      <c r="E80" s="27"/>
      <c r="F80" s="27"/>
      <c r="G80" s="27"/>
      <c r="H80" s="27"/>
    </row>
    <row r="81" spans="1:8" ht="15.75" customHeight="1">
      <c r="A81" s="27"/>
      <c r="B81" s="27"/>
      <c r="C81" s="27"/>
      <c r="D81" s="27"/>
      <c r="E81" s="27"/>
      <c r="F81" s="27"/>
      <c r="G81" s="27"/>
      <c r="H81" s="27"/>
    </row>
    <row r="82" spans="1:8" ht="15.75" customHeight="1">
      <c r="A82" s="27"/>
      <c r="B82" s="27"/>
      <c r="C82" s="27"/>
      <c r="D82" s="27"/>
      <c r="E82" s="27"/>
      <c r="F82" s="27"/>
      <c r="G82" s="27"/>
      <c r="H82" s="27"/>
    </row>
    <row r="83" spans="1:8" ht="15.75" customHeight="1">
      <c r="A83" s="27"/>
      <c r="B83" s="27"/>
      <c r="C83" s="27"/>
      <c r="D83" s="27"/>
      <c r="E83" s="27"/>
      <c r="F83" s="27"/>
      <c r="G83" s="27"/>
      <c r="H83" s="27"/>
    </row>
    <row r="84" spans="1:8" ht="15.75" customHeight="1">
      <c r="A84" s="27"/>
      <c r="B84" s="27"/>
      <c r="C84" s="27"/>
      <c r="D84" s="27"/>
      <c r="E84" s="27"/>
      <c r="F84" s="27"/>
      <c r="G84" s="27"/>
      <c r="H84" s="27"/>
    </row>
    <row r="85" spans="1:8" ht="15.75" customHeight="1">
      <c r="A85" s="27"/>
      <c r="B85" s="27"/>
      <c r="C85" s="27"/>
      <c r="D85" s="27"/>
      <c r="E85" s="27"/>
      <c r="F85" s="27"/>
      <c r="G85" s="27"/>
      <c r="H85" s="27"/>
    </row>
    <row r="86" spans="1:8" ht="15.75" customHeight="1">
      <c r="A86" s="27"/>
      <c r="B86" s="27"/>
      <c r="C86" s="27"/>
      <c r="D86" s="27"/>
      <c r="E86" s="27"/>
      <c r="F86" s="27"/>
      <c r="G86" s="27"/>
      <c r="H86" s="27"/>
    </row>
    <row r="87" spans="1:8" s="6" customFormat="1" ht="14.25">
      <c r="A87" s="28" t="s">
        <v>42</v>
      </c>
      <c r="B87" s="28"/>
      <c r="C87" s="28"/>
      <c r="D87" s="28"/>
      <c r="E87" s="28"/>
      <c r="F87" s="28"/>
      <c r="G87" s="28"/>
      <c r="H87" s="28"/>
    </row>
    <row r="88" spans="2:8" s="6" customFormat="1" ht="19.5">
      <c r="B88" s="29" t="s">
        <v>58</v>
      </c>
      <c r="C88" s="29"/>
      <c r="D88" s="16">
        <f>0.1*E36/1000*F18*POWER(C18,2)</f>
        <v>802728.0000000001</v>
      </c>
      <c r="E88" s="6" t="s">
        <v>43</v>
      </c>
      <c r="F88" s="34"/>
      <c r="G88" s="34"/>
      <c r="H88" s="34"/>
    </row>
    <row r="89" spans="2:7" s="6" customFormat="1" ht="16.5">
      <c r="B89" s="28" t="s">
        <v>53</v>
      </c>
      <c r="C89" s="28"/>
      <c r="D89" s="17">
        <f>D88/G16</f>
        <v>158.01732283464568</v>
      </c>
      <c r="E89" s="6" t="s">
        <v>44</v>
      </c>
      <c r="F89" s="4" t="s">
        <v>45</v>
      </c>
      <c r="G89" s="14" t="s">
        <v>110</v>
      </c>
    </row>
    <row r="90" spans="1:8" s="6" customFormat="1" ht="16.5">
      <c r="A90" s="6" t="s">
        <v>46</v>
      </c>
      <c r="B90" s="34" t="s">
        <v>111</v>
      </c>
      <c r="C90" s="34"/>
      <c r="D90" s="34"/>
      <c r="E90" s="18">
        <v>205</v>
      </c>
      <c r="F90" s="6" t="s">
        <v>54</v>
      </c>
      <c r="G90" s="34"/>
      <c r="H90" s="34"/>
    </row>
    <row r="91" spans="1:8" s="6" customFormat="1" ht="14.25">
      <c r="A91" s="28" t="s">
        <v>47</v>
      </c>
      <c r="B91" s="28"/>
      <c r="C91" s="28"/>
      <c r="D91" s="28"/>
      <c r="E91" s="28"/>
      <c r="F91" s="28"/>
      <c r="G91" s="28"/>
      <c r="H91" s="28"/>
    </row>
    <row r="92" spans="1:8" s="6" customFormat="1" ht="14.25">
      <c r="A92" s="28" t="s">
        <v>48</v>
      </c>
      <c r="B92" s="28"/>
      <c r="C92" s="28"/>
      <c r="D92" s="28"/>
      <c r="E92" s="28"/>
      <c r="F92" s="28"/>
      <c r="G92" s="28"/>
      <c r="H92" s="28"/>
    </row>
    <row r="93" spans="2:8" s="6" customFormat="1" ht="19.5">
      <c r="B93" s="34" t="s">
        <v>59</v>
      </c>
      <c r="C93" s="34"/>
      <c r="D93" s="34"/>
      <c r="E93" s="13">
        <f>0.677*E37/1000*F18*POWER(C18,4)/(100*G17*C17)</f>
        <v>1.3149081930915838</v>
      </c>
      <c r="F93" s="6" t="s">
        <v>49</v>
      </c>
      <c r="G93" s="4" t="s">
        <v>45</v>
      </c>
      <c r="H93" s="14" t="s">
        <v>50</v>
      </c>
    </row>
    <row r="94" spans="1:8" s="6" customFormat="1" ht="14.25">
      <c r="A94" s="6" t="s">
        <v>46</v>
      </c>
      <c r="B94" s="28" t="s">
        <v>51</v>
      </c>
      <c r="C94" s="28"/>
      <c r="D94" s="28"/>
      <c r="E94" s="28"/>
      <c r="F94" s="28"/>
      <c r="G94" s="28"/>
      <c r="H94" s="28"/>
    </row>
    <row r="95" spans="2:8" s="6" customFormat="1" ht="18.75">
      <c r="B95" s="34" t="s">
        <v>60</v>
      </c>
      <c r="C95" s="34"/>
      <c r="D95" s="6">
        <f>C18/500</f>
        <v>2</v>
      </c>
      <c r="E95" s="6" t="s">
        <v>49</v>
      </c>
      <c r="F95" s="34"/>
      <c r="G95" s="34"/>
      <c r="H95" s="34"/>
    </row>
    <row r="96" spans="1:8" s="6" customFormat="1" ht="14.25">
      <c r="A96" s="28" t="s">
        <v>47</v>
      </c>
      <c r="B96" s="28"/>
      <c r="C96" s="28"/>
      <c r="D96" s="28"/>
      <c r="E96" s="28"/>
      <c r="F96" s="28"/>
      <c r="G96" s="28"/>
      <c r="H96" s="28"/>
    </row>
    <row r="97" spans="1:8" ht="15.75" customHeight="1">
      <c r="A97" s="27"/>
      <c r="B97" s="27"/>
      <c r="C97" s="27"/>
      <c r="D97" s="27"/>
      <c r="E97" s="27"/>
      <c r="F97" s="27"/>
      <c r="G97" s="27"/>
      <c r="H97" s="27"/>
    </row>
    <row r="98" spans="1:8" s="6" customFormat="1" ht="14.25">
      <c r="A98" s="28" t="s">
        <v>73</v>
      </c>
      <c r="B98" s="28"/>
      <c r="C98" s="28"/>
      <c r="D98" s="28"/>
      <c r="E98" s="28"/>
      <c r="F98" s="28"/>
      <c r="G98" s="28"/>
      <c r="H98" s="28"/>
    </row>
    <row r="99" spans="1:8" s="6" customFormat="1" ht="18.75" customHeight="1">
      <c r="A99" s="28" t="s">
        <v>70</v>
      </c>
      <c r="B99" s="28"/>
      <c r="C99" s="28"/>
      <c r="D99" s="28"/>
      <c r="E99" s="28"/>
      <c r="F99" s="28"/>
      <c r="G99" s="19">
        <f>(38.4*(C18+F18*(F14+1))/1000+15*(2+F14))*H5*1.2</f>
        <v>1666.0800000000002</v>
      </c>
      <c r="H99" s="5" t="s">
        <v>61</v>
      </c>
    </row>
    <row r="100" spans="1:8" s="6" customFormat="1" ht="14.25">
      <c r="A100" s="28" t="s">
        <v>95</v>
      </c>
      <c r="B100" s="28"/>
      <c r="C100" s="28"/>
      <c r="D100" s="28"/>
      <c r="E100" s="28"/>
      <c r="F100" s="28"/>
      <c r="G100" s="28"/>
      <c r="H100" s="28"/>
    </row>
    <row r="101" spans="2:8" s="6" customFormat="1" ht="18.75">
      <c r="B101" s="28" t="s">
        <v>68</v>
      </c>
      <c r="C101" s="28"/>
      <c r="D101" s="28"/>
      <c r="E101" s="20">
        <f>E36*(C18/1000)*(F18/1000)+G99/1000</f>
        <v>9.693360000000002</v>
      </c>
      <c r="F101" s="6" t="s">
        <v>62</v>
      </c>
      <c r="G101" s="34"/>
      <c r="H101" s="34"/>
    </row>
    <row r="102" spans="1:8" s="6" customFormat="1" ht="14.25">
      <c r="A102" s="28" t="s">
        <v>63</v>
      </c>
      <c r="B102" s="28"/>
      <c r="C102" s="28"/>
      <c r="D102" s="28"/>
      <c r="E102" s="28"/>
      <c r="F102" s="28"/>
      <c r="G102" s="28"/>
      <c r="H102" s="28"/>
    </row>
    <row r="103" spans="1:8" s="6" customFormat="1" ht="14.25">
      <c r="A103" s="28" t="s">
        <v>64</v>
      </c>
      <c r="B103" s="28"/>
      <c r="C103" s="28"/>
      <c r="D103" s="28"/>
      <c r="E103" s="21">
        <v>11.6</v>
      </c>
      <c r="F103" s="6" t="s">
        <v>65</v>
      </c>
      <c r="G103" s="34"/>
      <c r="H103" s="34"/>
    </row>
    <row r="104" spans="1:8" s="6" customFormat="1" ht="14.25">
      <c r="A104" s="28" t="s">
        <v>66</v>
      </c>
      <c r="B104" s="28"/>
      <c r="C104" s="28"/>
      <c r="D104" s="28"/>
      <c r="E104" s="28"/>
      <c r="F104" s="28"/>
      <c r="G104" s="28"/>
      <c r="H104" s="28"/>
    </row>
    <row r="105" spans="1:8" ht="14.25">
      <c r="A105" s="27"/>
      <c r="B105" s="27"/>
      <c r="C105" s="27"/>
      <c r="D105" s="27"/>
      <c r="E105" s="27"/>
      <c r="F105" s="27"/>
      <c r="G105" s="27"/>
      <c r="H105" s="27"/>
    </row>
  </sheetData>
  <sheetProtection/>
  <mergeCells count="111">
    <mergeCell ref="B55:C55"/>
    <mergeCell ref="F55:H55"/>
    <mergeCell ref="A56:H56"/>
    <mergeCell ref="D35:E35"/>
    <mergeCell ref="A51:H51"/>
    <mergeCell ref="A52:H52"/>
    <mergeCell ref="B53:D53"/>
    <mergeCell ref="B54:H54"/>
    <mergeCell ref="B35:C35"/>
    <mergeCell ref="B36:D36"/>
    <mergeCell ref="B13:D13"/>
    <mergeCell ref="F13:H13"/>
    <mergeCell ref="B14:C14"/>
    <mergeCell ref="B48:D48"/>
    <mergeCell ref="G36:H36"/>
    <mergeCell ref="B37:D37"/>
    <mergeCell ref="G37:H37"/>
    <mergeCell ref="A38:H38"/>
    <mergeCell ref="B34:C34"/>
    <mergeCell ref="D34:E34"/>
    <mergeCell ref="B11:C11"/>
    <mergeCell ref="E11:F11"/>
    <mergeCell ref="B12:C12"/>
    <mergeCell ref="E12:G12"/>
    <mergeCell ref="A105:H105"/>
    <mergeCell ref="A39:H39"/>
    <mergeCell ref="A40:H40"/>
    <mergeCell ref="A47:H47"/>
    <mergeCell ref="B49:C49"/>
    <mergeCell ref="B50:D50"/>
    <mergeCell ref="A57:H57"/>
    <mergeCell ref="A102:H102"/>
    <mergeCell ref="A103:D103"/>
    <mergeCell ref="G50:H50"/>
    <mergeCell ref="A96:H96"/>
    <mergeCell ref="A97:H97"/>
    <mergeCell ref="G103:H103"/>
    <mergeCell ref="A104:H104"/>
    <mergeCell ref="A98:H98"/>
    <mergeCell ref="A99:F99"/>
    <mergeCell ref="A100:H100"/>
    <mergeCell ref="B101:D101"/>
    <mergeCell ref="G101:H101"/>
    <mergeCell ref="A92:H92"/>
    <mergeCell ref="B93:D93"/>
    <mergeCell ref="B94:H94"/>
    <mergeCell ref="B95:C95"/>
    <mergeCell ref="F95:H95"/>
    <mergeCell ref="B89:C89"/>
    <mergeCell ref="B90:D90"/>
    <mergeCell ref="G90:H90"/>
    <mergeCell ref="A91:H91"/>
    <mergeCell ref="A80:H86"/>
    <mergeCell ref="A87:H87"/>
    <mergeCell ref="B88:C88"/>
    <mergeCell ref="F88:H88"/>
    <mergeCell ref="A76:H76"/>
    <mergeCell ref="A77:H77"/>
    <mergeCell ref="A78:H78"/>
    <mergeCell ref="A79:H79"/>
    <mergeCell ref="B73:D73"/>
    <mergeCell ref="B74:H74"/>
    <mergeCell ref="B75:C75"/>
    <mergeCell ref="F75:H75"/>
    <mergeCell ref="A71:H71"/>
    <mergeCell ref="A72:H72"/>
    <mergeCell ref="B70:E70"/>
    <mergeCell ref="A58:H58"/>
    <mergeCell ref="A59:H59"/>
    <mergeCell ref="A67:H67"/>
    <mergeCell ref="B69:C69"/>
    <mergeCell ref="B68:D68"/>
    <mergeCell ref="A31:H31"/>
    <mergeCell ref="B32:C32"/>
    <mergeCell ref="D32:E32"/>
    <mergeCell ref="B33:C33"/>
    <mergeCell ref="D33:E33"/>
    <mergeCell ref="D7:E7"/>
    <mergeCell ref="A10:B10"/>
    <mergeCell ref="D10:H10"/>
    <mergeCell ref="G7:H7"/>
    <mergeCell ref="B8:C8"/>
    <mergeCell ref="B9:C9"/>
    <mergeCell ref="E9:H9"/>
    <mergeCell ref="E8:G8"/>
    <mergeCell ref="A1:H1"/>
    <mergeCell ref="A3:H3"/>
    <mergeCell ref="A4:B4"/>
    <mergeCell ref="A5:B5"/>
    <mergeCell ref="D5:E5"/>
    <mergeCell ref="B2:H2"/>
    <mergeCell ref="G6:H6"/>
    <mergeCell ref="G68:H68"/>
    <mergeCell ref="D6:E6"/>
    <mergeCell ref="A15:B15"/>
    <mergeCell ref="C15:D15"/>
    <mergeCell ref="A16:B16"/>
    <mergeCell ref="D16:F16"/>
    <mergeCell ref="B6:C6"/>
    <mergeCell ref="B7:C7"/>
    <mergeCell ref="E15:H15"/>
    <mergeCell ref="A19:H28"/>
    <mergeCell ref="G14:H14"/>
    <mergeCell ref="A41:H46"/>
    <mergeCell ref="A60:H66"/>
    <mergeCell ref="A29:H29"/>
    <mergeCell ref="A30:H30"/>
    <mergeCell ref="A17:B17"/>
    <mergeCell ref="D17:F17"/>
    <mergeCell ref="A18:B18"/>
    <mergeCell ref="D18:E18"/>
  </mergeCells>
  <printOptions gridLines="1"/>
  <pageMargins left="0.7874015748031497" right="0.7874015748031497" top="0.7874015748031497" bottom="0.7874015748031497" header="0.5118110236220472" footer="0.5118110236220472"/>
  <pageSetup orientation="portrait" paperSize="9" scale="95" r:id="rId6"/>
  <headerFooter alignWithMargins="0">
    <oddFooter>&amp;R&amp;P</oddFooter>
  </headerFooter>
  <legacyDrawing r:id="rId5"/>
  <oleObjects>
    <oleObject progId="AutoCAD.Drawing.15" shapeId="1483001" r:id="rId1"/>
    <oleObject progId="AutoCAD.Drawing.15" shapeId="1484852" r:id="rId2"/>
    <oleObject progId="AutoCAD.Drawing.15" shapeId="1492152" r:id="rId3"/>
    <oleObject progId="AutoCAD.Drawing.14" shapeId="48370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workbookViewId="0" topLeftCell="A1">
      <selection activeCell="K99" sqref="K99"/>
    </sheetView>
  </sheetViews>
  <sheetFormatPr defaultColWidth="9.00390625" defaultRowHeight="14.25"/>
  <cols>
    <col min="1" max="1" width="9.375" style="0" customWidth="1"/>
    <col min="2" max="2" width="10.375" style="0" customWidth="1"/>
    <col min="3" max="3" width="9.50390625" style="0" customWidth="1"/>
    <col min="4" max="4" width="9.875" style="0" customWidth="1"/>
    <col min="5" max="5" width="16.625" style="0" customWidth="1"/>
    <col min="6" max="6" width="9.625" style="0" customWidth="1"/>
    <col min="7" max="7" width="6.00390625" style="0" customWidth="1"/>
    <col min="8" max="8" width="8.00390625" style="0" customWidth="1"/>
  </cols>
  <sheetData>
    <row r="1" spans="1:9" ht="20.25">
      <c r="A1" s="33" t="s">
        <v>200</v>
      </c>
      <c r="B1" s="33"/>
      <c r="C1" s="33"/>
      <c r="D1" s="33"/>
      <c r="E1" s="33"/>
      <c r="F1" s="33"/>
      <c r="G1" s="33"/>
      <c r="H1" s="33"/>
      <c r="I1" s="4"/>
    </row>
    <row r="2" spans="1:8" s="6" customFormat="1" ht="14.25">
      <c r="A2" s="28" t="s">
        <v>115</v>
      </c>
      <c r="B2" s="28"/>
      <c r="C2" s="28"/>
      <c r="D2" s="28"/>
      <c r="E2" s="28"/>
      <c r="F2" s="28"/>
      <c r="G2" s="28"/>
      <c r="H2" s="28"/>
    </row>
    <row r="3" spans="1:8" ht="33.75" customHeight="1">
      <c r="A3" s="39" t="s">
        <v>293</v>
      </c>
      <c r="B3" s="39"/>
      <c r="C3" s="39"/>
      <c r="D3" s="39"/>
      <c r="E3" s="39"/>
      <c r="F3" s="39"/>
      <c r="G3" s="39"/>
      <c r="H3" s="39"/>
    </row>
    <row r="4" spans="1:8" ht="18.75">
      <c r="A4" s="30" t="s">
        <v>91</v>
      </c>
      <c r="B4" s="30"/>
      <c r="C4" s="23">
        <v>31.6</v>
      </c>
      <c r="D4" s="27" t="s">
        <v>116</v>
      </c>
      <c r="E4" s="27"/>
      <c r="F4" s="23">
        <v>1800</v>
      </c>
      <c r="G4" s="3" t="s">
        <v>117</v>
      </c>
      <c r="H4" s="22">
        <f>C4*1000/F4</f>
        <v>17.555555555555557</v>
      </c>
    </row>
    <row r="5" spans="1:8" ht="14.25">
      <c r="A5" s="5" t="s">
        <v>74</v>
      </c>
      <c r="B5" s="36" t="s">
        <v>75</v>
      </c>
      <c r="C5" s="36"/>
      <c r="D5" s="28" t="s">
        <v>118</v>
      </c>
      <c r="E5" s="28"/>
      <c r="F5" s="7">
        <v>0.9</v>
      </c>
      <c r="G5" s="26"/>
      <c r="H5" s="26"/>
    </row>
    <row r="6" spans="1:8" s="6" customFormat="1" ht="18" customHeight="1">
      <c r="A6" s="5" t="s">
        <v>119</v>
      </c>
      <c r="B6" s="34" t="s">
        <v>120</v>
      </c>
      <c r="C6" s="34"/>
      <c r="D6" s="27" t="s">
        <v>121</v>
      </c>
      <c r="E6" s="27"/>
      <c r="F6" s="21">
        <v>18</v>
      </c>
      <c r="G6" s="34"/>
      <c r="H6" s="34"/>
    </row>
    <row r="7" spans="1:8" s="6" customFormat="1" ht="18" customHeight="1">
      <c r="A7" s="5"/>
      <c r="B7" s="37" t="s">
        <v>122</v>
      </c>
      <c r="C7" s="37"/>
      <c r="D7" s="24">
        <f>1000*POWER(F6,3)/12</f>
        <v>486000</v>
      </c>
      <c r="E7" s="38" t="s">
        <v>123</v>
      </c>
      <c r="F7" s="38"/>
      <c r="G7" s="38"/>
      <c r="H7" s="24">
        <f>1000*POWER(F6,2)/6</f>
        <v>54000</v>
      </c>
    </row>
    <row r="8" spans="1:8" s="6" customFormat="1" ht="18" customHeight="1">
      <c r="A8" s="5"/>
      <c r="B8" s="28" t="s">
        <v>124</v>
      </c>
      <c r="C8" s="28"/>
      <c r="D8" s="21">
        <v>4000</v>
      </c>
      <c r="E8" s="34"/>
      <c r="F8" s="34"/>
      <c r="G8" s="34"/>
      <c r="H8" s="34"/>
    </row>
    <row r="9" spans="1:8" s="6" customFormat="1" ht="18" customHeight="1">
      <c r="A9" s="28" t="s">
        <v>125</v>
      </c>
      <c r="B9" s="28"/>
      <c r="C9" s="18" t="s">
        <v>126</v>
      </c>
      <c r="D9" s="34"/>
      <c r="E9" s="34"/>
      <c r="F9" s="34"/>
      <c r="G9" s="34"/>
      <c r="H9" s="34"/>
    </row>
    <row r="10" spans="2:8" s="6" customFormat="1" ht="18" customHeight="1">
      <c r="B10" s="28" t="s">
        <v>127</v>
      </c>
      <c r="C10" s="28"/>
      <c r="D10" s="21">
        <v>50</v>
      </c>
      <c r="E10" s="28" t="s">
        <v>128</v>
      </c>
      <c r="F10" s="28"/>
      <c r="G10" s="21">
        <v>100</v>
      </c>
      <c r="H10" s="7"/>
    </row>
    <row r="11" spans="1:8" s="6" customFormat="1" ht="18" customHeight="1">
      <c r="A11" s="15"/>
      <c r="B11" s="37" t="s">
        <v>99</v>
      </c>
      <c r="C11" s="37"/>
      <c r="D11" s="24">
        <f>D10*POWER(G10,3)/12</f>
        <v>4166666.6666666665</v>
      </c>
      <c r="E11" s="37" t="s">
        <v>100</v>
      </c>
      <c r="F11" s="37"/>
      <c r="G11" s="37"/>
      <c r="H11" s="24">
        <f>D10*POWER(G10,2)/6</f>
        <v>83333.33333333333</v>
      </c>
    </row>
    <row r="12" spans="1:8" s="6" customFormat="1" ht="18" customHeight="1">
      <c r="A12" s="15"/>
      <c r="B12" s="28" t="s">
        <v>129</v>
      </c>
      <c r="C12" s="28"/>
      <c r="D12" s="28"/>
      <c r="E12" s="14">
        <v>10000</v>
      </c>
      <c r="F12" s="38"/>
      <c r="G12" s="38"/>
      <c r="H12" s="38"/>
    </row>
    <row r="13" spans="1:8" s="6" customFormat="1" ht="18" customHeight="1">
      <c r="A13" s="5"/>
      <c r="B13" s="28" t="s">
        <v>130</v>
      </c>
      <c r="C13" s="28"/>
      <c r="D13" s="8">
        <f>C17/(F13+1)</f>
        <v>225</v>
      </c>
      <c r="E13" s="10" t="s">
        <v>131</v>
      </c>
      <c r="F13" s="23">
        <v>3</v>
      </c>
      <c r="G13" s="35"/>
      <c r="H13" s="35"/>
    </row>
    <row r="14" spans="1:8" ht="15.75">
      <c r="A14" s="30" t="s">
        <v>132</v>
      </c>
      <c r="B14" s="30"/>
      <c r="C14" s="31" t="s">
        <v>10</v>
      </c>
      <c r="D14" s="31"/>
      <c r="E14" s="27"/>
      <c r="F14" s="27"/>
      <c r="G14" s="27"/>
      <c r="H14" s="27"/>
    </row>
    <row r="15" spans="1:7" ht="18.75">
      <c r="A15" s="30" t="s">
        <v>1</v>
      </c>
      <c r="B15" s="30"/>
      <c r="C15" s="8">
        <v>489</v>
      </c>
      <c r="D15" s="30" t="s">
        <v>94</v>
      </c>
      <c r="E15" s="30"/>
      <c r="F15" s="30"/>
      <c r="G15" s="8">
        <v>5080</v>
      </c>
    </row>
    <row r="16" spans="1:7" ht="18.75">
      <c r="A16" s="30" t="s">
        <v>2</v>
      </c>
      <c r="B16" s="30"/>
      <c r="C16" s="9">
        <v>121900</v>
      </c>
      <c r="D16" s="30" t="s">
        <v>3</v>
      </c>
      <c r="E16" s="30"/>
      <c r="F16" s="30"/>
      <c r="G16" s="8">
        <v>206000</v>
      </c>
    </row>
    <row r="17" spans="1:6" ht="19.5">
      <c r="A17" s="30" t="s">
        <v>133</v>
      </c>
      <c r="B17" s="30"/>
      <c r="C17" s="23">
        <v>900</v>
      </c>
      <c r="D17" s="30" t="s">
        <v>134</v>
      </c>
      <c r="E17" s="30"/>
      <c r="F17" s="23">
        <v>900</v>
      </c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31"/>
      <c r="B28" s="31"/>
      <c r="C28" s="31"/>
      <c r="D28" s="31"/>
      <c r="E28" s="31"/>
      <c r="F28" s="31"/>
      <c r="G28" s="31"/>
      <c r="H28" s="31"/>
    </row>
    <row r="29" spans="1:8" s="6" customFormat="1" ht="14.25">
      <c r="A29" s="28" t="s">
        <v>135</v>
      </c>
      <c r="B29" s="28"/>
      <c r="C29" s="28"/>
      <c r="D29" s="28"/>
      <c r="E29" s="28"/>
      <c r="F29" s="28"/>
      <c r="G29" s="28"/>
      <c r="H29" s="28"/>
    </row>
    <row r="30" spans="1:8" ht="14.25">
      <c r="A30" s="30" t="s">
        <v>136</v>
      </c>
      <c r="B30" s="30"/>
      <c r="C30" s="30"/>
      <c r="D30" s="30"/>
      <c r="E30" s="30"/>
      <c r="F30" s="30"/>
      <c r="G30" s="30"/>
      <c r="H30" s="30"/>
    </row>
    <row r="31" spans="1:7" s="6" customFormat="1" ht="16.5">
      <c r="A31" s="11" t="s">
        <v>137</v>
      </c>
      <c r="B31" s="28" t="s">
        <v>138</v>
      </c>
      <c r="C31" s="28"/>
      <c r="D31" s="29" t="s">
        <v>294</v>
      </c>
      <c r="E31" s="29"/>
      <c r="F31" s="12">
        <f>0.5*1093.35/763.65*1.2</f>
        <v>0.8590453741897465</v>
      </c>
      <c r="G31" s="6" t="s">
        <v>139</v>
      </c>
    </row>
    <row r="32" spans="1:7" s="6" customFormat="1" ht="16.5">
      <c r="A32" s="11" t="s">
        <v>140</v>
      </c>
      <c r="B32" s="28" t="s">
        <v>197</v>
      </c>
      <c r="C32" s="28"/>
      <c r="D32" s="29" t="s">
        <v>198</v>
      </c>
      <c r="E32" s="29"/>
      <c r="F32" s="12">
        <f>921.7/1042*1.2</f>
        <v>1.0614587332053742</v>
      </c>
      <c r="G32" s="6" t="s">
        <v>141</v>
      </c>
    </row>
    <row r="33" spans="1:7" s="6" customFormat="1" ht="16.5">
      <c r="A33" s="11" t="s">
        <v>199</v>
      </c>
      <c r="B33" s="28" t="s">
        <v>142</v>
      </c>
      <c r="C33" s="28"/>
      <c r="D33" s="29" t="s">
        <v>295</v>
      </c>
      <c r="E33" s="29"/>
      <c r="F33" s="12">
        <f>2.5*1093.35/763.65*1.4</f>
        <v>5.011098016106855</v>
      </c>
      <c r="G33" s="6" t="s">
        <v>11</v>
      </c>
    </row>
    <row r="34" spans="1:8" s="6" customFormat="1" ht="15.75" customHeight="1">
      <c r="A34" s="6" t="s">
        <v>143</v>
      </c>
      <c r="B34" s="32" t="s">
        <v>201</v>
      </c>
      <c r="C34" s="32"/>
      <c r="D34" s="32"/>
      <c r="E34" s="13">
        <f>F5*(F31+F32+F33)</f>
        <v>6.238441911151778</v>
      </c>
      <c r="F34" s="15" t="s">
        <v>144</v>
      </c>
      <c r="G34" s="28" t="s">
        <v>145</v>
      </c>
      <c r="H34" s="28"/>
    </row>
    <row r="35" spans="2:8" s="6" customFormat="1" ht="15.75" customHeight="1">
      <c r="B35" s="32" t="s">
        <v>202</v>
      </c>
      <c r="C35" s="32"/>
      <c r="D35" s="32"/>
      <c r="E35" s="13">
        <f>F5*(F31+F32)</f>
        <v>1.7284536966556086</v>
      </c>
      <c r="F35" s="15" t="s">
        <v>146</v>
      </c>
      <c r="G35" s="28" t="s">
        <v>147</v>
      </c>
      <c r="H35" s="28"/>
    </row>
    <row r="36" spans="1:8" ht="15.75" customHeight="1">
      <c r="A36" s="31"/>
      <c r="B36" s="31"/>
      <c r="C36" s="31"/>
      <c r="D36" s="31"/>
      <c r="E36" s="31"/>
      <c r="F36" s="31"/>
      <c r="G36" s="31"/>
      <c r="H36" s="31"/>
    </row>
    <row r="37" spans="1:8" ht="15.75" customHeight="1">
      <c r="A37" s="30" t="s">
        <v>148</v>
      </c>
      <c r="B37" s="30"/>
      <c r="C37" s="30"/>
      <c r="D37" s="30"/>
      <c r="E37" s="30"/>
      <c r="F37" s="30"/>
      <c r="G37" s="30"/>
      <c r="H37" s="30"/>
    </row>
    <row r="38" spans="1:8" ht="15.75" customHeight="1">
      <c r="A38" s="30" t="s">
        <v>149</v>
      </c>
      <c r="B38" s="30"/>
      <c r="C38" s="30"/>
      <c r="D38" s="30"/>
      <c r="E38" s="30"/>
      <c r="F38" s="30"/>
      <c r="G38" s="30"/>
      <c r="H38" s="30"/>
    </row>
    <row r="39" spans="1:8" ht="15.75" customHeight="1">
      <c r="A39" s="31"/>
      <c r="B39" s="31"/>
      <c r="C39" s="31"/>
      <c r="D39" s="31"/>
      <c r="E39" s="31"/>
      <c r="F39" s="31"/>
      <c r="G39" s="31"/>
      <c r="H39" s="31"/>
    </row>
    <row r="40" spans="1:8" ht="15.75" customHeight="1">
      <c r="A40" s="31"/>
      <c r="B40" s="31"/>
      <c r="C40" s="31"/>
      <c r="D40" s="31"/>
      <c r="E40" s="31"/>
      <c r="F40" s="31"/>
      <c r="G40" s="31"/>
      <c r="H40" s="31"/>
    </row>
    <row r="41" spans="1:8" ht="15.75" customHeight="1">
      <c r="A41" s="31"/>
      <c r="B41" s="31"/>
      <c r="C41" s="31"/>
      <c r="D41" s="31"/>
      <c r="E41" s="31"/>
      <c r="F41" s="31"/>
      <c r="G41" s="31"/>
      <c r="H41" s="31"/>
    </row>
    <row r="42" spans="1:8" ht="15.75" customHeight="1">
      <c r="A42" s="31"/>
      <c r="B42" s="31"/>
      <c r="C42" s="31"/>
      <c r="D42" s="31"/>
      <c r="E42" s="31"/>
      <c r="F42" s="31"/>
      <c r="G42" s="31"/>
      <c r="H42" s="31"/>
    </row>
    <row r="43" spans="1:8" ht="15.75" customHeight="1">
      <c r="A43" s="31"/>
      <c r="B43" s="31"/>
      <c r="C43" s="31"/>
      <c r="D43" s="31"/>
      <c r="E43" s="31"/>
      <c r="F43" s="31"/>
      <c r="G43" s="31"/>
      <c r="H43" s="31"/>
    </row>
    <row r="44" spans="1:8" ht="15.75" customHeight="1">
      <c r="A44" s="31"/>
      <c r="B44" s="31"/>
      <c r="C44" s="31"/>
      <c r="D44" s="31"/>
      <c r="E44" s="31"/>
      <c r="F44" s="31"/>
      <c r="G44" s="31"/>
      <c r="H44" s="31"/>
    </row>
    <row r="45" spans="1:8" s="6" customFormat="1" ht="14.25">
      <c r="A45" s="28" t="s">
        <v>150</v>
      </c>
      <c r="B45" s="28"/>
      <c r="C45" s="28"/>
      <c r="D45" s="28"/>
      <c r="E45" s="28"/>
      <c r="F45" s="28"/>
      <c r="G45" s="28"/>
      <c r="H45" s="28"/>
    </row>
    <row r="46" spans="2:8" s="6" customFormat="1" ht="19.5">
      <c r="B46" s="29" t="s">
        <v>85</v>
      </c>
      <c r="C46" s="29"/>
      <c r="D46" s="29"/>
      <c r="E46" s="16">
        <f>0.1*E34/1000*1000*POWER(D13,2)</f>
        <v>31582.11217520588</v>
      </c>
      <c r="F46" s="6" t="s">
        <v>151</v>
      </c>
      <c r="G46" s="14"/>
      <c r="H46" s="14"/>
    </row>
    <row r="47" spans="2:7" s="6" customFormat="1" ht="18.75">
      <c r="B47" s="28" t="s">
        <v>152</v>
      </c>
      <c r="C47" s="28"/>
      <c r="D47" s="17">
        <f>E46/H7</f>
        <v>0.5848539291704793</v>
      </c>
      <c r="E47" s="6" t="s">
        <v>153</v>
      </c>
      <c r="F47" s="4" t="s">
        <v>154</v>
      </c>
      <c r="G47" s="3" t="s">
        <v>155</v>
      </c>
    </row>
    <row r="48" spans="1:8" s="6" customFormat="1" ht="18.75">
      <c r="A48" s="6" t="s">
        <v>156</v>
      </c>
      <c r="B48" s="30" t="s">
        <v>113</v>
      </c>
      <c r="C48" s="28"/>
      <c r="D48" s="28"/>
      <c r="E48" s="18">
        <v>20</v>
      </c>
      <c r="F48" s="6" t="s">
        <v>157</v>
      </c>
      <c r="G48" s="34"/>
      <c r="H48" s="34"/>
    </row>
    <row r="49" spans="1:8" s="6" customFormat="1" ht="14.25">
      <c r="A49" s="28" t="s">
        <v>158</v>
      </c>
      <c r="B49" s="28"/>
      <c r="C49" s="28"/>
      <c r="D49" s="28"/>
      <c r="E49" s="28"/>
      <c r="F49" s="28"/>
      <c r="G49" s="28"/>
      <c r="H49" s="28"/>
    </row>
    <row r="50" spans="1:8" s="6" customFormat="1" ht="14.25">
      <c r="A50" s="28" t="s">
        <v>159</v>
      </c>
      <c r="B50" s="28"/>
      <c r="C50" s="28"/>
      <c r="D50" s="28"/>
      <c r="E50" s="28"/>
      <c r="F50" s="28"/>
      <c r="G50" s="28"/>
      <c r="H50" s="28"/>
    </row>
    <row r="51" spans="2:8" s="6" customFormat="1" ht="19.5">
      <c r="B51" s="34" t="s">
        <v>103</v>
      </c>
      <c r="C51" s="34"/>
      <c r="D51" s="34"/>
      <c r="E51" s="13">
        <f>0.677*E35/1000*1000*POWER(D13,4)/(100*D8*D7)</f>
        <v>0.01542695562557025</v>
      </c>
      <c r="F51" s="6" t="s">
        <v>160</v>
      </c>
      <c r="G51" s="4" t="s">
        <v>154</v>
      </c>
      <c r="H51" s="14" t="s">
        <v>50</v>
      </c>
    </row>
    <row r="52" spans="1:8" s="6" customFormat="1" ht="14.25">
      <c r="A52" s="6" t="s">
        <v>156</v>
      </c>
      <c r="B52" s="28" t="s">
        <v>161</v>
      </c>
      <c r="C52" s="28"/>
      <c r="D52" s="28"/>
      <c r="E52" s="28"/>
      <c r="F52" s="28"/>
      <c r="G52" s="28"/>
      <c r="H52" s="28"/>
    </row>
    <row r="53" spans="2:8" s="6" customFormat="1" ht="18.75">
      <c r="B53" s="34" t="s">
        <v>162</v>
      </c>
      <c r="C53" s="34"/>
      <c r="D53" s="6">
        <f>D13/400</f>
        <v>0.5625</v>
      </c>
      <c r="E53" s="6" t="s">
        <v>163</v>
      </c>
      <c r="F53" s="34"/>
      <c r="G53" s="34"/>
      <c r="H53" s="34"/>
    </row>
    <row r="54" spans="1:8" s="6" customFormat="1" ht="14.25">
      <c r="A54" s="28" t="s">
        <v>164</v>
      </c>
      <c r="B54" s="28"/>
      <c r="C54" s="28"/>
      <c r="D54" s="28"/>
      <c r="E54" s="28"/>
      <c r="F54" s="28"/>
      <c r="G54" s="28"/>
      <c r="H54" s="28"/>
    </row>
    <row r="55" spans="1:8" ht="15.75" customHeight="1">
      <c r="A55" s="31"/>
      <c r="B55" s="31"/>
      <c r="C55" s="31"/>
      <c r="D55" s="31"/>
      <c r="E55" s="31"/>
      <c r="F55" s="31"/>
      <c r="G55" s="31"/>
      <c r="H55" s="31"/>
    </row>
    <row r="56" spans="1:8" ht="15.75" customHeight="1">
      <c r="A56" s="30" t="s">
        <v>89</v>
      </c>
      <c r="B56" s="30"/>
      <c r="C56" s="30"/>
      <c r="D56" s="30"/>
      <c r="E56" s="30"/>
      <c r="F56" s="30"/>
      <c r="G56" s="30"/>
      <c r="H56" s="30"/>
    </row>
    <row r="57" spans="1:8" ht="15.75" customHeight="1">
      <c r="A57" s="30" t="s">
        <v>40</v>
      </c>
      <c r="B57" s="30"/>
      <c r="C57" s="30"/>
      <c r="D57" s="30"/>
      <c r="E57" s="30"/>
      <c r="F57" s="30"/>
      <c r="G57" s="30"/>
      <c r="H57" s="30"/>
    </row>
    <row r="58" spans="1:8" ht="15.75" customHeight="1">
      <c r="A58" s="27"/>
      <c r="B58" s="27"/>
      <c r="C58" s="27"/>
      <c r="D58" s="27"/>
      <c r="E58" s="27"/>
      <c r="F58" s="27"/>
      <c r="G58" s="27"/>
      <c r="H58" s="27"/>
    </row>
    <row r="59" spans="1:8" ht="15.75" customHeight="1">
      <c r="A59" s="27"/>
      <c r="B59" s="27"/>
      <c r="C59" s="27"/>
      <c r="D59" s="27"/>
      <c r="E59" s="27"/>
      <c r="F59" s="27"/>
      <c r="G59" s="27"/>
      <c r="H59" s="27"/>
    </row>
    <row r="60" spans="1:8" ht="15.75" customHeight="1">
      <c r="A60" s="27"/>
      <c r="B60" s="27"/>
      <c r="C60" s="27"/>
      <c r="D60" s="27"/>
      <c r="E60" s="27"/>
      <c r="F60" s="27"/>
      <c r="G60" s="27"/>
      <c r="H60" s="27"/>
    </row>
    <row r="61" spans="1:8" ht="15.75" customHeight="1">
      <c r="A61" s="27"/>
      <c r="B61" s="27"/>
      <c r="C61" s="27"/>
      <c r="D61" s="27"/>
      <c r="E61" s="27"/>
      <c r="F61" s="27"/>
      <c r="G61" s="27"/>
      <c r="H61" s="27"/>
    </row>
    <row r="62" spans="1:8" ht="15.75" customHeight="1">
      <c r="A62" s="27"/>
      <c r="B62" s="27"/>
      <c r="C62" s="27"/>
      <c r="D62" s="27"/>
      <c r="E62" s="27"/>
      <c r="F62" s="27"/>
      <c r="G62" s="27"/>
      <c r="H62" s="27"/>
    </row>
    <row r="63" spans="1:8" ht="15.75" customHeight="1">
      <c r="A63" s="27"/>
      <c r="B63" s="27"/>
      <c r="C63" s="27"/>
      <c r="D63" s="27"/>
      <c r="E63" s="27"/>
      <c r="F63" s="27"/>
      <c r="G63" s="27"/>
      <c r="H63" s="27"/>
    </row>
    <row r="64" spans="1:8" ht="15.75" customHeight="1">
      <c r="A64" s="27"/>
      <c r="B64" s="27"/>
      <c r="C64" s="27"/>
      <c r="D64" s="27"/>
      <c r="E64" s="27"/>
      <c r="F64" s="27"/>
      <c r="G64" s="27"/>
      <c r="H64" s="27"/>
    </row>
    <row r="65" spans="1:8" s="6" customFormat="1" ht="14.25">
      <c r="A65" s="28" t="s">
        <v>165</v>
      </c>
      <c r="B65" s="28"/>
      <c r="C65" s="28"/>
      <c r="D65" s="28"/>
      <c r="E65" s="28"/>
      <c r="F65" s="28"/>
      <c r="G65" s="28"/>
      <c r="H65" s="28"/>
    </row>
    <row r="66" spans="2:8" s="6" customFormat="1" ht="19.5">
      <c r="B66" s="29" t="s">
        <v>90</v>
      </c>
      <c r="C66" s="29"/>
      <c r="D66" s="29"/>
      <c r="E66" s="16">
        <f>0.125*E34/1000*D13*POWER(F17,2)</f>
        <v>142119.50478842645</v>
      </c>
      <c r="F66" s="6" t="s">
        <v>166</v>
      </c>
      <c r="G66" s="34"/>
      <c r="H66" s="34"/>
    </row>
    <row r="67" spans="2:7" s="6" customFormat="1" ht="18.75">
      <c r="B67" s="28" t="s">
        <v>167</v>
      </c>
      <c r="C67" s="28"/>
      <c r="D67" s="17">
        <f>E66/H11</f>
        <v>1.7054340574611175</v>
      </c>
      <c r="E67" s="6" t="s">
        <v>168</v>
      </c>
      <c r="F67" s="4" t="s">
        <v>169</v>
      </c>
      <c r="G67" s="3" t="s">
        <v>170</v>
      </c>
    </row>
    <row r="68" spans="1:8" s="6" customFormat="1" ht="18.75">
      <c r="A68" s="6" t="s">
        <v>156</v>
      </c>
      <c r="B68" s="30" t="s">
        <v>171</v>
      </c>
      <c r="C68" s="30"/>
      <c r="D68" s="30"/>
      <c r="E68" s="30"/>
      <c r="F68" s="18">
        <v>13</v>
      </c>
      <c r="G68" s="6" t="s">
        <v>172</v>
      </c>
      <c r="H68" s="14"/>
    </row>
    <row r="69" spans="1:8" s="6" customFormat="1" ht="14.25">
      <c r="A69" s="28" t="s">
        <v>158</v>
      </c>
      <c r="B69" s="28"/>
      <c r="C69" s="28"/>
      <c r="D69" s="28"/>
      <c r="E69" s="28"/>
      <c r="F69" s="28"/>
      <c r="G69" s="28"/>
      <c r="H69" s="28"/>
    </row>
    <row r="70" spans="1:8" s="6" customFormat="1" ht="14.25">
      <c r="A70" s="28" t="s">
        <v>159</v>
      </c>
      <c r="B70" s="28"/>
      <c r="C70" s="28"/>
      <c r="D70" s="28"/>
      <c r="E70" s="28"/>
      <c r="F70" s="28"/>
      <c r="G70" s="28"/>
      <c r="H70" s="28"/>
    </row>
    <row r="71" spans="2:8" s="6" customFormat="1" ht="19.5">
      <c r="B71" s="34" t="s">
        <v>173</v>
      </c>
      <c r="C71" s="34"/>
      <c r="D71" s="34"/>
      <c r="E71" s="13">
        <f>5*E35/1000*D13*POWER(F17,4)/(384*E12*D11)</f>
        <v>0.07973707994829456</v>
      </c>
      <c r="F71" s="6" t="s">
        <v>174</v>
      </c>
      <c r="G71" s="4" t="s">
        <v>154</v>
      </c>
      <c r="H71" s="14" t="s">
        <v>50</v>
      </c>
    </row>
    <row r="72" spans="1:8" s="6" customFormat="1" ht="14.25">
      <c r="A72" s="6" t="s">
        <v>175</v>
      </c>
      <c r="B72" s="28" t="s">
        <v>176</v>
      </c>
      <c r="C72" s="28"/>
      <c r="D72" s="28"/>
      <c r="E72" s="28"/>
      <c r="F72" s="28"/>
      <c r="G72" s="28"/>
      <c r="H72" s="28"/>
    </row>
    <row r="73" spans="2:8" s="6" customFormat="1" ht="18.75">
      <c r="B73" s="34" t="s">
        <v>177</v>
      </c>
      <c r="C73" s="34"/>
      <c r="D73" s="6">
        <f>F17/500</f>
        <v>1.8</v>
      </c>
      <c r="E73" s="6" t="s">
        <v>163</v>
      </c>
      <c r="F73" s="34"/>
      <c r="G73" s="34"/>
      <c r="H73" s="34"/>
    </row>
    <row r="74" spans="1:8" s="6" customFormat="1" ht="14.25">
      <c r="A74" s="28" t="s">
        <v>47</v>
      </c>
      <c r="B74" s="28"/>
      <c r="C74" s="28"/>
      <c r="D74" s="28"/>
      <c r="E74" s="28"/>
      <c r="F74" s="28"/>
      <c r="G74" s="28"/>
      <c r="H74" s="28"/>
    </row>
    <row r="75" spans="1:8" s="6" customFormat="1" ht="14.25">
      <c r="A75" s="34"/>
      <c r="B75" s="34"/>
      <c r="C75" s="34"/>
      <c r="D75" s="34"/>
      <c r="E75" s="34"/>
      <c r="F75" s="34"/>
      <c r="G75" s="34"/>
      <c r="H75" s="34"/>
    </row>
    <row r="76" spans="1:8" ht="15.75" customHeight="1">
      <c r="A76" s="30" t="s">
        <v>178</v>
      </c>
      <c r="B76" s="30"/>
      <c r="C76" s="30"/>
      <c r="D76" s="30"/>
      <c r="E76" s="30"/>
      <c r="F76" s="30"/>
      <c r="G76" s="30"/>
      <c r="H76" s="30"/>
    </row>
    <row r="77" spans="1:8" ht="15.75" customHeight="1">
      <c r="A77" s="30" t="s">
        <v>149</v>
      </c>
      <c r="B77" s="30"/>
      <c r="C77" s="30"/>
      <c r="D77" s="30"/>
      <c r="E77" s="30"/>
      <c r="F77" s="30"/>
      <c r="G77" s="30"/>
      <c r="H77" s="30"/>
    </row>
    <row r="78" spans="1:8" ht="15.75" customHeight="1">
      <c r="A78" s="27"/>
      <c r="B78" s="27"/>
      <c r="C78" s="27"/>
      <c r="D78" s="27"/>
      <c r="E78" s="27"/>
      <c r="F78" s="27"/>
      <c r="G78" s="27"/>
      <c r="H78" s="27"/>
    </row>
    <row r="79" spans="1:8" ht="15.75" customHeight="1">
      <c r="A79" s="27"/>
      <c r="B79" s="27"/>
      <c r="C79" s="27"/>
      <c r="D79" s="27"/>
      <c r="E79" s="27"/>
      <c r="F79" s="27"/>
      <c r="G79" s="27"/>
      <c r="H79" s="27"/>
    </row>
    <row r="80" spans="1:8" ht="15.75" customHeight="1">
      <c r="A80" s="27"/>
      <c r="B80" s="27"/>
      <c r="C80" s="27"/>
      <c r="D80" s="27"/>
      <c r="E80" s="27"/>
      <c r="F80" s="27"/>
      <c r="G80" s="27"/>
      <c r="H80" s="27"/>
    </row>
    <row r="81" spans="1:8" ht="15.75" customHeight="1">
      <c r="A81" s="27"/>
      <c r="B81" s="27"/>
      <c r="C81" s="27"/>
      <c r="D81" s="27"/>
      <c r="E81" s="27"/>
      <c r="F81" s="27"/>
      <c r="G81" s="27"/>
      <c r="H81" s="27"/>
    </row>
    <row r="82" spans="1:8" ht="15.75" customHeight="1">
      <c r="A82" s="27"/>
      <c r="B82" s="27"/>
      <c r="C82" s="27"/>
      <c r="D82" s="27"/>
      <c r="E82" s="27"/>
      <c r="F82" s="27"/>
      <c r="G82" s="27"/>
      <c r="H82" s="27"/>
    </row>
    <row r="83" spans="1:8" ht="15.75" customHeight="1">
      <c r="A83" s="27"/>
      <c r="B83" s="27"/>
      <c r="C83" s="27"/>
      <c r="D83" s="27"/>
      <c r="E83" s="27"/>
      <c r="F83" s="27"/>
      <c r="G83" s="27"/>
      <c r="H83" s="27"/>
    </row>
    <row r="84" spans="1:8" ht="15.75" customHeight="1">
      <c r="A84" s="27"/>
      <c r="B84" s="27"/>
      <c r="C84" s="27"/>
      <c r="D84" s="27"/>
      <c r="E84" s="27"/>
      <c r="F84" s="27"/>
      <c r="G84" s="27"/>
      <c r="H84" s="27"/>
    </row>
    <row r="85" spans="1:8" s="6" customFormat="1" ht="14.25">
      <c r="A85" s="28" t="s">
        <v>179</v>
      </c>
      <c r="B85" s="28"/>
      <c r="C85" s="28"/>
      <c r="D85" s="28"/>
      <c r="E85" s="28"/>
      <c r="F85" s="28"/>
      <c r="G85" s="28"/>
      <c r="H85" s="28"/>
    </row>
    <row r="86" spans="2:8" s="6" customFormat="1" ht="19.5">
      <c r="B86" s="29" t="s">
        <v>180</v>
      </c>
      <c r="C86" s="29"/>
      <c r="D86" s="16">
        <f>0.1*E34/1000*F17*POWER(C17,2)</f>
        <v>454782.41532296466</v>
      </c>
      <c r="E86" s="6" t="s">
        <v>181</v>
      </c>
      <c r="F86" s="34"/>
      <c r="G86" s="34"/>
      <c r="H86" s="34"/>
    </row>
    <row r="87" spans="2:7" s="6" customFormat="1" ht="16.5">
      <c r="B87" s="28" t="s">
        <v>182</v>
      </c>
      <c r="C87" s="28"/>
      <c r="D87" s="17">
        <f>D86/G15</f>
        <v>89.5240975045206</v>
      </c>
      <c r="E87" s="6" t="s">
        <v>153</v>
      </c>
      <c r="F87" s="4" t="s">
        <v>154</v>
      </c>
      <c r="G87" s="14" t="s">
        <v>183</v>
      </c>
    </row>
    <row r="88" spans="1:8" s="6" customFormat="1" ht="16.5">
      <c r="A88" s="6" t="s">
        <v>156</v>
      </c>
      <c r="B88" s="34" t="s">
        <v>111</v>
      </c>
      <c r="C88" s="34"/>
      <c r="D88" s="34"/>
      <c r="E88" s="18">
        <v>205</v>
      </c>
      <c r="F88" s="6" t="s">
        <v>157</v>
      </c>
      <c r="G88" s="34"/>
      <c r="H88" s="34"/>
    </row>
    <row r="89" spans="1:8" s="6" customFormat="1" ht="14.25">
      <c r="A89" s="28" t="s">
        <v>158</v>
      </c>
      <c r="B89" s="28"/>
      <c r="C89" s="28"/>
      <c r="D89" s="28"/>
      <c r="E89" s="28"/>
      <c r="F89" s="28"/>
      <c r="G89" s="28"/>
      <c r="H89" s="28"/>
    </row>
    <row r="90" spans="1:8" s="6" customFormat="1" ht="14.25">
      <c r="A90" s="28" t="s">
        <v>159</v>
      </c>
      <c r="B90" s="28"/>
      <c r="C90" s="28"/>
      <c r="D90" s="28"/>
      <c r="E90" s="28"/>
      <c r="F90" s="28"/>
      <c r="G90" s="28"/>
      <c r="H90" s="28"/>
    </row>
    <row r="91" spans="2:8" s="6" customFormat="1" ht="19.5">
      <c r="B91" s="34" t="s">
        <v>184</v>
      </c>
      <c r="C91" s="34"/>
      <c r="D91" s="34"/>
      <c r="E91" s="13">
        <f>0.677*E35/1000*F17*POWER(C17,4)/(100*G16*C16)</f>
        <v>0.2751617353074466</v>
      </c>
      <c r="F91" s="6" t="s">
        <v>174</v>
      </c>
      <c r="G91" s="4" t="s">
        <v>154</v>
      </c>
      <c r="H91" s="14" t="s">
        <v>50</v>
      </c>
    </row>
    <row r="92" spans="1:8" s="6" customFormat="1" ht="14.25">
      <c r="A92" s="6" t="s">
        <v>185</v>
      </c>
      <c r="B92" s="28" t="s">
        <v>186</v>
      </c>
      <c r="C92" s="28"/>
      <c r="D92" s="28"/>
      <c r="E92" s="28"/>
      <c r="F92" s="28"/>
      <c r="G92" s="28"/>
      <c r="H92" s="28"/>
    </row>
    <row r="93" spans="2:8" s="6" customFormat="1" ht="18.75">
      <c r="B93" s="34" t="s">
        <v>187</v>
      </c>
      <c r="C93" s="34"/>
      <c r="D93" s="6">
        <f>C17/500</f>
        <v>1.8</v>
      </c>
      <c r="E93" s="6" t="s">
        <v>163</v>
      </c>
      <c r="F93" s="34"/>
      <c r="G93" s="34"/>
      <c r="H93" s="34"/>
    </row>
    <row r="94" spans="1:8" s="6" customFormat="1" ht="14.25">
      <c r="A94" s="28" t="s">
        <v>47</v>
      </c>
      <c r="B94" s="28"/>
      <c r="C94" s="28"/>
      <c r="D94" s="28"/>
      <c r="E94" s="28"/>
      <c r="F94" s="28"/>
      <c r="G94" s="28"/>
      <c r="H94" s="28"/>
    </row>
    <row r="95" spans="1:8" ht="15.75" customHeight="1">
      <c r="A95" s="27"/>
      <c r="B95" s="27"/>
      <c r="C95" s="27"/>
      <c r="D95" s="27"/>
      <c r="E95" s="27"/>
      <c r="F95" s="27"/>
      <c r="G95" s="27"/>
      <c r="H95" s="27"/>
    </row>
    <row r="96" spans="1:8" s="6" customFormat="1" ht="14.25">
      <c r="A96" s="28" t="s">
        <v>188</v>
      </c>
      <c r="B96" s="28"/>
      <c r="C96" s="28"/>
      <c r="D96" s="28"/>
      <c r="E96" s="28"/>
      <c r="F96" s="28"/>
      <c r="G96" s="28"/>
      <c r="H96" s="28"/>
    </row>
    <row r="97" spans="1:8" s="6" customFormat="1" ht="18.75" customHeight="1">
      <c r="A97" s="28" t="s">
        <v>70</v>
      </c>
      <c r="B97" s="28"/>
      <c r="C97" s="28"/>
      <c r="D97" s="28"/>
      <c r="E97" s="28"/>
      <c r="F97" s="28"/>
      <c r="G97" s="19">
        <f>(38.4*(C17+F17*(F13+1))/1000+15*(2+F13))*H4*1.2</f>
        <v>5220.320000000001</v>
      </c>
      <c r="H97" s="5" t="s">
        <v>189</v>
      </c>
    </row>
    <row r="98" spans="1:8" s="6" customFormat="1" ht="14.25">
      <c r="A98" s="28" t="s">
        <v>190</v>
      </c>
      <c r="B98" s="28"/>
      <c r="C98" s="28"/>
      <c r="D98" s="28"/>
      <c r="E98" s="28"/>
      <c r="F98" s="28"/>
      <c r="G98" s="28"/>
      <c r="H98" s="28"/>
    </row>
    <row r="99" spans="2:8" s="6" customFormat="1" ht="18.75">
      <c r="B99" s="28" t="s">
        <v>191</v>
      </c>
      <c r="C99" s="28"/>
      <c r="D99" s="28"/>
      <c r="E99" s="20">
        <f>E34*(C17/1000)*(F17/1000)+G97/1000</f>
        <v>10.273457948032942</v>
      </c>
      <c r="F99" s="6" t="s">
        <v>192</v>
      </c>
      <c r="G99" s="34"/>
      <c r="H99" s="34"/>
    </row>
    <row r="100" spans="1:8" s="6" customFormat="1" ht="14.25">
      <c r="A100" s="28" t="s">
        <v>193</v>
      </c>
      <c r="B100" s="28"/>
      <c r="C100" s="28"/>
      <c r="D100" s="28"/>
      <c r="E100" s="28"/>
      <c r="F100" s="28"/>
      <c r="G100" s="28"/>
      <c r="H100" s="28"/>
    </row>
    <row r="101" spans="1:8" s="6" customFormat="1" ht="14.25">
      <c r="A101" s="28" t="s">
        <v>194</v>
      </c>
      <c r="B101" s="28"/>
      <c r="C101" s="28"/>
      <c r="D101" s="28"/>
      <c r="E101" s="21">
        <v>11.6</v>
      </c>
      <c r="F101" s="6" t="s">
        <v>195</v>
      </c>
      <c r="G101" s="34"/>
      <c r="H101" s="34"/>
    </row>
    <row r="102" spans="1:8" s="6" customFormat="1" ht="14.25">
      <c r="A102" s="28" t="s">
        <v>196</v>
      </c>
      <c r="B102" s="28"/>
      <c r="C102" s="28"/>
      <c r="D102" s="28"/>
      <c r="E102" s="28"/>
      <c r="F102" s="28"/>
      <c r="G102" s="28"/>
      <c r="H102" s="28"/>
    </row>
    <row r="103" spans="1:8" ht="14.25">
      <c r="A103" s="27"/>
      <c r="B103" s="27"/>
      <c r="C103" s="27"/>
      <c r="D103" s="27"/>
      <c r="E103" s="27"/>
      <c r="F103" s="27"/>
      <c r="G103" s="27"/>
      <c r="H103" s="27"/>
    </row>
  </sheetData>
  <sheetProtection/>
  <mergeCells count="108">
    <mergeCell ref="A18:H27"/>
    <mergeCell ref="G13:H13"/>
    <mergeCell ref="A39:H44"/>
    <mergeCell ref="A58:H64"/>
    <mergeCell ref="A28:H28"/>
    <mergeCell ref="A29:H29"/>
    <mergeCell ref="A16:B16"/>
    <mergeCell ref="D16:F16"/>
    <mergeCell ref="A17:B17"/>
    <mergeCell ref="D17:E17"/>
    <mergeCell ref="A14:B14"/>
    <mergeCell ref="C14:D14"/>
    <mergeCell ref="A15:B15"/>
    <mergeCell ref="D15:F15"/>
    <mergeCell ref="E14:H14"/>
    <mergeCell ref="E7:G7"/>
    <mergeCell ref="A1:H1"/>
    <mergeCell ref="A2:H2"/>
    <mergeCell ref="A4:B4"/>
    <mergeCell ref="D4:E4"/>
    <mergeCell ref="A3:H3"/>
    <mergeCell ref="G5:H5"/>
    <mergeCell ref="D5:E5"/>
    <mergeCell ref="B5:C5"/>
    <mergeCell ref="B6:C6"/>
    <mergeCell ref="D31:E31"/>
    <mergeCell ref="B32:C32"/>
    <mergeCell ref="D32:E32"/>
    <mergeCell ref="D6:E6"/>
    <mergeCell ref="A9:B9"/>
    <mergeCell ref="D9:H9"/>
    <mergeCell ref="G6:H6"/>
    <mergeCell ref="B7:C7"/>
    <mergeCell ref="B8:C8"/>
    <mergeCell ref="E8:H8"/>
    <mergeCell ref="A69:H69"/>
    <mergeCell ref="A70:H70"/>
    <mergeCell ref="B68:E68"/>
    <mergeCell ref="A56:H56"/>
    <mergeCell ref="A57:H57"/>
    <mergeCell ref="A65:H65"/>
    <mergeCell ref="B67:C67"/>
    <mergeCell ref="B66:D66"/>
    <mergeCell ref="G66:H66"/>
    <mergeCell ref="B71:D71"/>
    <mergeCell ref="B72:H72"/>
    <mergeCell ref="B73:C73"/>
    <mergeCell ref="F73:H73"/>
    <mergeCell ref="A74:H74"/>
    <mergeCell ref="A75:H75"/>
    <mergeCell ref="A76:H76"/>
    <mergeCell ref="A77:H77"/>
    <mergeCell ref="A78:H84"/>
    <mergeCell ref="A85:H85"/>
    <mergeCell ref="B86:C86"/>
    <mergeCell ref="F86:H86"/>
    <mergeCell ref="B87:C87"/>
    <mergeCell ref="B88:D88"/>
    <mergeCell ref="G88:H88"/>
    <mergeCell ref="A89:H89"/>
    <mergeCell ref="A90:H90"/>
    <mergeCell ref="B91:D91"/>
    <mergeCell ref="B92:H92"/>
    <mergeCell ref="B93:C93"/>
    <mergeCell ref="F93:H93"/>
    <mergeCell ref="A94:H94"/>
    <mergeCell ref="A95:H95"/>
    <mergeCell ref="G101:H101"/>
    <mergeCell ref="A102:H102"/>
    <mergeCell ref="A96:H96"/>
    <mergeCell ref="A97:F97"/>
    <mergeCell ref="A98:H98"/>
    <mergeCell ref="B99:D99"/>
    <mergeCell ref="G99:H99"/>
    <mergeCell ref="A103:H103"/>
    <mergeCell ref="A37:H37"/>
    <mergeCell ref="A38:H38"/>
    <mergeCell ref="A45:H45"/>
    <mergeCell ref="B47:C47"/>
    <mergeCell ref="B48:D48"/>
    <mergeCell ref="A55:H55"/>
    <mergeCell ref="A100:H100"/>
    <mergeCell ref="A101:D101"/>
    <mergeCell ref="G48:H48"/>
    <mergeCell ref="B10:C10"/>
    <mergeCell ref="E10:F10"/>
    <mergeCell ref="B11:C11"/>
    <mergeCell ref="E11:G11"/>
    <mergeCell ref="B12:D12"/>
    <mergeCell ref="F12:H12"/>
    <mergeCell ref="B13:C13"/>
    <mergeCell ref="B46:D46"/>
    <mergeCell ref="G34:H34"/>
    <mergeCell ref="B35:D35"/>
    <mergeCell ref="G35:H35"/>
    <mergeCell ref="A36:H36"/>
    <mergeCell ref="A30:H30"/>
    <mergeCell ref="B31:C31"/>
    <mergeCell ref="B53:C53"/>
    <mergeCell ref="F53:H53"/>
    <mergeCell ref="A54:H54"/>
    <mergeCell ref="D33:E33"/>
    <mergeCell ref="A49:H49"/>
    <mergeCell ref="A50:H50"/>
    <mergeCell ref="B51:D51"/>
    <mergeCell ref="B52:H52"/>
    <mergeCell ref="B33:C33"/>
    <mergeCell ref="B34:D34"/>
  </mergeCells>
  <printOptions gridLines="1"/>
  <pageMargins left="0.7874015748031497" right="0.7874015748031497" top="0.7874015748031497" bottom="0.7874015748031497" header="0.5118110236220472" footer="0.5118110236220472"/>
  <pageSetup orientation="portrait" paperSize="9" r:id="rId6"/>
  <headerFooter alignWithMargins="0">
    <oddFooter>&amp;R&amp;P</oddFooter>
  </headerFooter>
  <legacyDrawing r:id="rId5"/>
  <oleObjects>
    <oleObject progId="AutoCAD.Drawing.15" shapeId="380287" r:id="rId1"/>
    <oleObject progId="AutoCAD.Drawing.15" shapeId="380288" r:id="rId2"/>
    <oleObject progId="AutoCAD.Drawing.15" shapeId="380289" r:id="rId3"/>
    <oleObject progId="AutoCAD.Drawing.14" shapeId="38029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workbookViewId="0" topLeftCell="A1">
      <selection activeCell="K10" sqref="K10"/>
    </sheetView>
  </sheetViews>
  <sheetFormatPr defaultColWidth="9.00390625" defaultRowHeight="14.25"/>
  <cols>
    <col min="1" max="1" width="9.375" style="0" customWidth="1"/>
    <col min="2" max="2" width="10.375" style="0" customWidth="1"/>
    <col min="3" max="3" width="9.50390625" style="0" customWidth="1"/>
    <col min="4" max="5" width="9.875" style="0" customWidth="1"/>
    <col min="6" max="6" width="9.625" style="0" customWidth="1"/>
    <col min="7" max="7" width="9.375" style="0" customWidth="1"/>
    <col min="8" max="8" width="9.875" style="0" customWidth="1"/>
  </cols>
  <sheetData>
    <row r="1" spans="1:9" ht="20.25">
      <c r="A1" s="33" t="s">
        <v>285</v>
      </c>
      <c r="B1" s="33"/>
      <c r="C1" s="33"/>
      <c r="D1" s="33"/>
      <c r="E1" s="33"/>
      <c r="F1" s="33"/>
      <c r="G1" s="33"/>
      <c r="H1" s="33"/>
      <c r="I1" s="4"/>
    </row>
    <row r="2" spans="1:8" s="6" customFormat="1" ht="14.25">
      <c r="A2" s="28" t="s">
        <v>203</v>
      </c>
      <c r="B2" s="28"/>
      <c r="C2" s="28"/>
      <c r="D2" s="28"/>
      <c r="E2" s="28"/>
      <c r="F2" s="28"/>
      <c r="G2" s="28"/>
      <c r="H2" s="28"/>
    </row>
    <row r="3" spans="1:8" ht="33.75" customHeight="1">
      <c r="A3" s="39" t="s">
        <v>287</v>
      </c>
      <c r="B3" s="39"/>
      <c r="C3" s="39"/>
      <c r="D3" s="39"/>
      <c r="E3" s="39"/>
      <c r="F3" s="39"/>
      <c r="G3" s="39"/>
      <c r="H3" s="39"/>
    </row>
    <row r="4" spans="1:8" ht="18.75">
      <c r="A4" s="30" t="s">
        <v>204</v>
      </c>
      <c r="B4" s="30"/>
      <c r="C4" s="23">
        <v>31.6</v>
      </c>
      <c r="D4" s="27" t="s">
        <v>205</v>
      </c>
      <c r="E4" s="27"/>
      <c r="F4" s="23">
        <v>1800</v>
      </c>
      <c r="G4" s="3" t="s">
        <v>206</v>
      </c>
      <c r="H4" s="22">
        <f>C4*1000/F4</f>
        <v>17.555555555555557</v>
      </c>
    </row>
    <row r="5" spans="1:8" ht="14.25">
      <c r="A5" s="5" t="s">
        <v>207</v>
      </c>
      <c r="B5" s="36" t="s">
        <v>75</v>
      </c>
      <c r="C5" s="36"/>
      <c r="D5" s="28" t="s">
        <v>208</v>
      </c>
      <c r="E5" s="28"/>
      <c r="F5" s="7">
        <v>0.9</v>
      </c>
      <c r="G5" s="26"/>
      <c r="H5" s="26"/>
    </row>
    <row r="6" spans="1:8" s="6" customFormat="1" ht="18" customHeight="1">
      <c r="A6" s="5" t="s">
        <v>209</v>
      </c>
      <c r="B6" s="34" t="s">
        <v>210</v>
      </c>
      <c r="C6" s="34"/>
      <c r="D6" s="27" t="s">
        <v>211</v>
      </c>
      <c r="E6" s="27"/>
      <c r="F6" s="21">
        <v>18</v>
      </c>
      <c r="G6" s="34"/>
      <c r="H6" s="34"/>
    </row>
    <row r="7" spans="1:8" s="6" customFormat="1" ht="18" customHeight="1">
      <c r="A7" s="5"/>
      <c r="B7" s="37" t="s">
        <v>212</v>
      </c>
      <c r="C7" s="37"/>
      <c r="D7" s="24">
        <f>1000*POWER(F6,3)/12</f>
        <v>486000</v>
      </c>
      <c r="E7" s="38" t="s">
        <v>213</v>
      </c>
      <c r="F7" s="38"/>
      <c r="G7" s="38"/>
      <c r="H7" s="24">
        <f>1000*POWER(F6,2)/6</f>
        <v>54000</v>
      </c>
    </row>
    <row r="8" spans="1:8" s="6" customFormat="1" ht="18" customHeight="1">
      <c r="A8" s="5"/>
      <c r="B8" s="28" t="s">
        <v>214</v>
      </c>
      <c r="C8" s="28"/>
      <c r="D8" s="21">
        <v>4000</v>
      </c>
      <c r="E8" s="34"/>
      <c r="F8" s="34"/>
      <c r="G8" s="34"/>
      <c r="H8" s="34"/>
    </row>
    <row r="9" spans="1:8" s="6" customFormat="1" ht="18" customHeight="1">
      <c r="A9" s="28" t="s">
        <v>215</v>
      </c>
      <c r="B9" s="28"/>
      <c r="C9" s="18" t="s">
        <v>216</v>
      </c>
      <c r="D9" s="34"/>
      <c r="E9" s="34"/>
      <c r="F9" s="34"/>
      <c r="G9" s="34"/>
      <c r="H9" s="34"/>
    </row>
    <row r="10" spans="2:8" s="6" customFormat="1" ht="18" customHeight="1">
      <c r="B10" s="28" t="s">
        <v>217</v>
      </c>
      <c r="C10" s="28"/>
      <c r="D10" s="21">
        <v>50</v>
      </c>
      <c r="E10" s="28" t="s">
        <v>218</v>
      </c>
      <c r="F10" s="28"/>
      <c r="G10" s="21">
        <v>100</v>
      </c>
      <c r="H10" s="7"/>
    </row>
    <row r="11" spans="1:8" s="6" customFormat="1" ht="18" customHeight="1">
      <c r="A11" s="15"/>
      <c r="B11" s="37" t="s">
        <v>219</v>
      </c>
      <c r="C11" s="37"/>
      <c r="D11" s="24">
        <f>D10*POWER(G10,3)/12</f>
        <v>4166666.6666666665</v>
      </c>
      <c r="E11" s="37" t="s">
        <v>220</v>
      </c>
      <c r="F11" s="37"/>
      <c r="G11" s="37"/>
      <c r="H11" s="24">
        <f>D10*POWER(G10,2)/6</f>
        <v>83333.33333333333</v>
      </c>
    </row>
    <row r="12" spans="1:8" s="6" customFormat="1" ht="18" customHeight="1">
      <c r="A12" s="15"/>
      <c r="B12" s="28" t="s">
        <v>221</v>
      </c>
      <c r="C12" s="28"/>
      <c r="D12" s="28"/>
      <c r="E12" s="14">
        <v>10000</v>
      </c>
      <c r="F12" s="38"/>
      <c r="G12" s="38"/>
      <c r="H12" s="38"/>
    </row>
    <row r="13" spans="1:8" s="6" customFormat="1" ht="18" customHeight="1">
      <c r="A13" s="5"/>
      <c r="B13" s="28" t="s">
        <v>222</v>
      </c>
      <c r="C13" s="28"/>
      <c r="D13" s="8">
        <f>C17/(F13+1)</f>
        <v>250</v>
      </c>
      <c r="E13" s="10" t="s">
        <v>223</v>
      </c>
      <c r="F13" s="23">
        <v>1</v>
      </c>
      <c r="G13" s="35"/>
      <c r="H13" s="35"/>
    </row>
    <row r="14" spans="1:8" ht="15.75">
      <c r="A14" s="30" t="s">
        <v>224</v>
      </c>
      <c r="B14" s="30"/>
      <c r="C14" s="31" t="s">
        <v>225</v>
      </c>
      <c r="D14" s="31"/>
      <c r="E14" s="27"/>
      <c r="F14" s="27"/>
      <c r="G14" s="27"/>
      <c r="H14" s="27"/>
    </row>
    <row r="15" spans="1:7" ht="18.75">
      <c r="A15" s="30" t="s">
        <v>226</v>
      </c>
      <c r="B15" s="30"/>
      <c r="C15" s="8">
        <v>489</v>
      </c>
      <c r="D15" s="30" t="s">
        <v>227</v>
      </c>
      <c r="E15" s="30"/>
      <c r="F15" s="30"/>
      <c r="G15" s="8">
        <v>5080</v>
      </c>
    </row>
    <row r="16" spans="1:7" ht="18.75">
      <c r="A16" s="30" t="s">
        <v>228</v>
      </c>
      <c r="B16" s="30"/>
      <c r="C16" s="9">
        <v>121900</v>
      </c>
      <c r="D16" s="30" t="s">
        <v>229</v>
      </c>
      <c r="E16" s="30"/>
      <c r="F16" s="30"/>
      <c r="G16" s="8">
        <v>206000</v>
      </c>
    </row>
    <row r="17" spans="1:6" ht="19.5">
      <c r="A17" s="30" t="s">
        <v>291</v>
      </c>
      <c r="B17" s="30"/>
      <c r="C17" s="23">
        <v>500</v>
      </c>
      <c r="D17" s="30" t="s">
        <v>292</v>
      </c>
      <c r="E17" s="30"/>
      <c r="F17" s="23">
        <v>900</v>
      </c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31"/>
      <c r="B28" s="31"/>
      <c r="C28" s="31"/>
      <c r="D28" s="31"/>
      <c r="E28" s="31"/>
      <c r="F28" s="31"/>
      <c r="G28" s="31"/>
      <c r="H28" s="31"/>
    </row>
    <row r="29" spans="1:8" s="6" customFormat="1" ht="14.25">
      <c r="A29" s="28" t="s">
        <v>230</v>
      </c>
      <c r="B29" s="28"/>
      <c r="C29" s="28"/>
      <c r="D29" s="28"/>
      <c r="E29" s="28"/>
      <c r="F29" s="28"/>
      <c r="G29" s="28"/>
      <c r="H29" s="28"/>
    </row>
    <row r="30" spans="1:8" ht="14.25">
      <c r="A30" s="30" t="s">
        <v>231</v>
      </c>
      <c r="B30" s="30"/>
      <c r="C30" s="30"/>
      <c r="D30" s="30"/>
      <c r="E30" s="30"/>
      <c r="F30" s="30"/>
      <c r="G30" s="30"/>
      <c r="H30" s="30"/>
    </row>
    <row r="31" spans="1:7" s="6" customFormat="1" ht="16.5">
      <c r="A31" s="11" t="s">
        <v>232</v>
      </c>
      <c r="B31" s="28" t="s">
        <v>233</v>
      </c>
      <c r="C31" s="28"/>
      <c r="D31" s="29" t="s">
        <v>234</v>
      </c>
      <c r="E31" s="29"/>
      <c r="F31" s="12">
        <f>0.5*1.2</f>
        <v>0.6</v>
      </c>
      <c r="G31" s="6" t="s">
        <v>235</v>
      </c>
    </row>
    <row r="32" spans="1:7" s="6" customFormat="1" ht="16.5">
      <c r="A32" s="11" t="s">
        <v>236</v>
      </c>
      <c r="B32" s="28" t="s">
        <v>237</v>
      </c>
      <c r="C32" s="28"/>
      <c r="D32" s="40" t="s">
        <v>288</v>
      </c>
      <c r="E32" s="29"/>
      <c r="F32" s="12">
        <f>155/40.19*1.2</f>
        <v>4.628016919631749</v>
      </c>
      <c r="G32" s="6" t="s">
        <v>235</v>
      </c>
    </row>
    <row r="33" spans="1:7" s="6" customFormat="1" ht="16.5">
      <c r="A33" s="11" t="s">
        <v>238</v>
      </c>
      <c r="B33" s="5" t="s">
        <v>289</v>
      </c>
      <c r="C33" s="5"/>
      <c r="D33" s="25" t="s">
        <v>290</v>
      </c>
      <c r="E33" s="25"/>
      <c r="F33" s="12">
        <f>130/40.19*1.2</f>
        <v>3.881562577755661</v>
      </c>
      <c r="G33" s="6" t="s">
        <v>235</v>
      </c>
    </row>
    <row r="34" spans="1:7" s="6" customFormat="1" ht="16.5">
      <c r="A34" s="11" t="s">
        <v>286</v>
      </c>
      <c r="B34" s="28" t="s">
        <v>239</v>
      </c>
      <c r="C34" s="28"/>
      <c r="D34" s="29" t="s">
        <v>240</v>
      </c>
      <c r="E34" s="29"/>
      <c r="F34" s="12">
        <f>2.5*1.4</f>
        <v>3.5</v>
      </c>
      <c r="G34" s="6" t="s">
        <v>235</v>
      </c>
    </row>
    <row r="35" spans="1:8" s="6" customFormat="1" ht="15.75" customHeight="1">
      <c r="A35" s="6" t="s">
        <v>241</v>
      </c>
      <c r="B35" s="32" t="s">
        <v>242</v>
      </c>
      <c r="C35" s="32"/>
      <c r="D35" s="32"/>
      <c r="E35" s="13">
        <f>F5*(F31+F32+F33+F34)</f>
        <v>11.34862154764867</v>
      </c>
      <c r="F35" s="15" t="s">
        <v>235</v>
      </c>
      <c r="G35" s="28" t="s">
        <v>243</v>
      </c>
      <c r="H35" s="28"/>
    </row>
    <row r="36" spans="2:8" s="6" customFormat="1" ht="15.75" customHeight="1">
      <c r="B36" s="32" t="s">
        <v>244</v>
      </c>
      <c r="C36" s="32"/>
      <c r="D36" s="32"/>
      <c r="E36" s="13">
        <f>F5*(F31+F32+F33)</f>
        <v>8.198621547648669</v>
      </c>
      <c r="F36" s="15" t="s">
        <v>235</v>
      </c>
      <c r="G36" s="28" t="s">
        <v>245</v>
      </c>
      <c r="H36" s="28"/>
    </row>
    <row r="37" spans="1:8" ht="15.75" customHeight="1">
      <c r="A37" s="31"/>
      <c r="B37" s="31"/>
      <c r="C37" s="31"/>
      <c r="D37" s="31"/>
      <c r="E37" s="31"/>
      <c r="F37" s="31"/>
      <c r="G37" s="31"/>
      <c r="H37" s="31"/>
    </row>
    <row r="38" spans="1:8" ht="15.75" customHeight="1">
      <c r="A38" s="30" t="s">
        <v>246</v>
      </c>
      <c r="B38" s="30"/>
      <c r="C38" s="30"/>
      <c r="D38" s="30"/>
      <c r="E38" s="30"/>
      <c r="F38" s="30"/>
      <c r="G38" s="30"/>
      <c r="H38" s="30"/>
    </row>
    <row r="39" spans="1:8" ht="15.75" customHeight="1">
      <c r="A39" s="30" t="s">
        <v>247</v>
      </c>
      <c r="B39" s="30"/>
      <c r="C39" s="30"/>
      <c r="D39" s="30"/>
      <c r="E39" s="30"/>
      <c r="F39" s="30"/>
      <c r="G39" s="30"/>
      <c r="H39" s="30"/>
    </row>
    <row r="40" spans="1:8" ht="15.75" customHeight="1">
      <c r="A40" s="31"/>
      <c r="B40" s="31"/>
      <c r="C40" s="31"/>
      <c r="D40" s="31"/>
      <c r="E40" s="31"/>
      <c r="F40" s="31"/>
      <c r="G40" s="31"/>
      <c r="H40" s="31"/>
    </row>
    <row r="41" spans="1:8" ht="15.75" customHeight="1">
      <c r="A41" s="31"/>
      <c r="B41" s="31"/>
      <c r="C41" s="31"/>
      <c r="D41" s="31"/>
      <c r="E41" s="31"/>
      <c r="F41" s="31"/>
      <c r="G41" s="31"/>
      <c r="H41" s="31"/>
    </row>
    <row r="42" spans="1:8" ht="15.75" customHeight="1">
      <c r="A42" s="31"/>
      <c r="B42" s="31"/>
      <c r="C42" s="31"/>
      <c r="D42" s="31"/>
      <c r="E42" s="31"/>
      <c r="F42" s="31"/>
      <c r="G42" s="31"/>
      <c r="H42" s="31"/>
    </row>
    <row r="43" spans="1:8" ht="15.75" customHeight="1">
      <c r="A43" s="31"/>
      <c r="B43" s="31"/>
      <c r="C43" s="31"/>
      <c r="D43" s="31"/>
      <c r="E43" s="31"/>
      <c r="F43" s="31"/>
      <c r="G43" s="31"/>
      <c r="H43" s="31"/>
    </row>
    <row r="44" spans="1:8" ht="15.75" customHeight="1">
      <c r="A44" s="31"/>
      <c r="B44" s="31"/>
      <c r="C44" s="31"/>
      <c r="D44" s="31"/>
      <c r="E44" s="31"/>
      <c r="F44" s="31"/>
      <c r="G44" s="31"/>
      <c r="H44" s="31"/>
    </row>
    <row r="45" spans="1:8" ht="15.75" customHeight="1">
      <c r="A45" s="31"/>
      <c r="B45" s="31"/>
      <c r="C45" s="31"/>
      <c r="D45" s="31"/>
      <c r="E45" s="31"/>
      <c r="F45" s="31"/>
      <c r="G45" s="31"/>
      <c r="H45" s="31"/>
    </row>
    <row r="46" spans="1:8" s="6" customFormat="1" ht="14.25">
      <c r="A46" s="28" t="s">
        <v>248</v>
      </c>
      <c r="B46" s="28"/>
      <c r="C46" s="28"/>
      <c r="D46" s="28"/>
      <c r="E46" s="28"/>
      <c r="F46" s="28"/>
      <c r="G46" s="28"/>
      <c r="H46" s="28"/>
    </row>
    <row r="47" spans="2:8" s="6" customFormat="1" ht="19.5">
      <c r="B47" s="29" t="s">
        <v>249</v>
      </c>
      <c r="C47" s="29"/>
      <c r="D47" s="29"/>
      <c r="E47" s="16">
        <f>0.1*E35/1000*1000*POWER(D13,2)</f>
        <v>70928.88467280418</v>
      </c>
      <c r="F47" s="6" t="s">
        <v>250</v>
      </c>
      <c r="G47" s="14"/>
      <c r="H47" s="14"/>
    </row>
    <row r="48" spans="2:7" s="6" customFormat="1" ht="18.75">
      <c r="B48" s="28" t="s">
        <v>251</v>
      </c>
      <c r="C48" s="28"/>
      <c r="D48" s="17">
        <f>E47/H7</f>
        <v>1.3134978643111885</v>
      </c>
      <c r="E48" s="6" t="s">
        <v>252</v>
      </c>
      <c r="F48" s="4" t="s">
        <v>253</v>
      </c>
      <c r="G48" s="3" t="s">
        <v>254</v>
      </c>
    </row>
    <row r="49" spans="1:8" s="6" customFormat="1" ht="18.75">
      <c r="A49" s="6" t="s">
        <v>255</v>
      </c>
      <c r="B49" s="30" t="s">
        <v>256</v>
      </c>
      <c r="C49" s="28"/>
      <c r="D49" s="28"/>
      <c r="E49" s="18">
        <v>20</v>
      </c>
      <c r="F49" s="6" t="s">
        <v>252</v>
      </c>
      <c r="G49" s="34"/>
      <c r="H49" s="34"/>
    </row>
    <row r="50" spans="1:8" s="6" customFormat="1" ht="14.25">
      <c r="A50" s="28" t="s">
        <v>257</v>
      </c>
      <c r="B50" s="28"/>
      <c r="C50" s="28"/>
      <c r="D50" s="28"/>
      <c r="E50" s="28"/>
      <c r="F50" s="28"/>
      <c r="G50" s="28"/>
      <c r="H50" s="28"/>
    </row>
    <row r="51" spans="1:8" s="6" customFormat="1" ht="14.25">
      <c r="A51" s="28" t="s">
        <v>258</v>
      </c>
      <c r="B51" s="28"/>
      <c r="C51" s="28"/>
      <c r="D51" s="28"/>
      <c r="E51" s="28"/>
      <c r="F51" s="28"/>
      <c r="G51" s="28"/>
      <c r="H51" s="28"/>
    </row>
    <row r="52" spans="2:8" s="6" customFormat="1" ht="19.5">
      <c r="B52" s="34" t="s">
        <v>259</v>
      </c>
      <c r="C52" s="34"/>
      <c r="D52" s="34"/>
      <c r="E52" s="13">
        <f>0.677*E36/1000*1000*POWER(D13,4)/(100*D8*D7)</f>
        <v>0.11153040581111251</v>
      </c>
      <c r="F52" s="6" t="s">
        <v>260</v>
      </c>
      <c r="G52" s="4" t="s">
        <v>253</v>
      </c>
      <c r="H52" s="14" t="s">
        <v>50</v>
      </c>
    </row>
    <row r="53" spans="1:8" s="6" customFormat="1" ht="14.25">
      <c r="A53" s="6" t="s">
        <v>255</v>
      </c>
      <c r="B53" s="28" t="s">
        <v>261</v>
      </c>
      <c r="C53" s="28"/>
      <c r="D53" s="28"/>
      <c r="E53" s="28"/>
      <c r="F53" s="28"/>
      <c r="G53" s="28"/>
      <c r="H53" s="28"/>
    </row>
    <row r="54" spans="2:8" s="6" customFormat="1" ht="18.75">
      <c r="B54" s="34" t="s">
        <v>262</v>
      </c>
      <c r="C54" s="34"/>
      <c r="D54" s="6">
        <f>D13/400</f>
        <v>0.625</v>
      </c>
      <c r="E54" s="6" t="s">
        <v>260</v>
      </c>
      <c r="F54" s="34"/>
      <c r="G54" s="34"/>
      <c r="H54" s="34"/>
    </row>
    <row r="55" spans="1:8" s="6" customFormat="1" ht="14.25">
      <c r="A55" s="28" t="s">
        <v>257</v>
      </c>
      <c r="B55" s="28"/>
      <c r="C55" s="28"/>
      <c r="D55" s="28"/>
      <c r="E55" s="28"/>
      <c r="F55" s="28"/>
      <c r="G55" s="28"/>
      <c r="H55" s="28"/>
    </row>
    <row r="56" spans="1:8" ht="15.75" customHeight="1">
      <c r="A56" s="31"/>
      <c r="B56" s="31"/>
      <c r="C56" s="31"/>
      <c r="D56" s="31"/>
      <c r="E56" s="31"/>
      <c r="F56" s="31"/>
      <c r="G56" s="31"/>
      <c r="H56" s="31"/>
    </row>
    <row r="57" spans="1:8" ht="15.75" customHeight="1">
      <c r="A57" s="30" t="s">
        <v>263</v>
      </c>
      <c r="B57" s="30"/>
      <c r="C57" s="30"/>
      <c r="D57" s="30"/>
      <c r="E57" s="30"/>
      <c r="F57" s="30"/>
      <c r="G57" s="30"/>
      <c r="H57" s="30"/>
    </row>
    <row r="58" spans="1:8" ht="15.75" customHeight="1">
      <c r="A58" s="30" t="s">
        <v>247</v>
      </c>
      <c r="B58" s="30"/>
      <c r="C58" s="30"/>
      <c r="D58" s="30"/>
      <c r="E58" s="30"/>
      <c r="F58" s="30"/>
      <c r="G58" s="30"/>
      <c r="H58" s="30"/>
    </row>
    <row r="59" spans="1:8" ht="15.75" customHeight="1">
      <c r="A59" s="27"/>
      <c r="B59" s="27"/>
      <c r="C59" s="27"/>
      <c r="D59" s="27"/>
      <c r="E59" s="27"/>
      <c r="F59" s="27"/>
      <c r="G59" s="27"/>
      <c r="H59" s="27"/>
    </row>
    <row r="60" spans="1:8" ht="15.75" customHeight="1">
      <c r="A60" s="27"/>
      <c r="B60" s="27"/>
      <c r="C60" s="27"/>
      <c r="D60" s="27"/>
      <c r="E60" s="27"/>
      <c r="F60" s="27"/>
      <c r="G60" s="27"/>
      <c r="H60" s="27"/>
    </row>
    <row r="61" spans="1:8" ht="15.75" customHeight="1">
      <c r="A61" s="27"/>
      <c r="B61" s="27"/>
      <c r="C61" s="27"/>
      <c r="D61" s="27"/>
      <c r="E61" s="27"/>
      <c r="F61" s="27"/>
      <c r="G61" s="27"/>
      <c r="H61" s="27"/>
    </row>
    <row r="62" spans="1:8" ht="15.75" customHeight="1">
      <c r="A62" s="27"/>
      <c r="B62" s="27"/>
      <c r="C62" s="27"/>
      <c r="D62" s="27"/>
      <c r="E62" s="27"/>
      <c r="F62" s="27"/>
      <c r="G62" s="27"/>
      <c r="H62" s="27"/>
    </row>
    <row r="63" spans="1:8" ht="15.75" customHeight="1">
      <c r="A63" s="27"/>
      <c r="B63" s="27"/>
      <c r="C63" s="27"/>
      <c r="D63" s="27"/>
      <c r="E63" s="27"/>
      <c r="F63" s="27"/>
      <c r="G63" s="27"/>
      <c r="H63" s="27"/>
    </row>
    <row r="64" spans="1:8" ht="15.75" customHeight="1">
      <c r="A64" s="27"/>
      <c r="B64" s="27"/>
      <c r="C64" s="27"/>
      <c r="D64" s="27"/>
      <c r="E64" s="27"/>
      <c r="F64" s="27"/>
      <c r="G64" s="27"/>
      <c r="H64" s="27"/>
    </row>
    <row r="65" spans="1:8" ht="15.75" customHeight="1">
      <c r="A65" s="27"/>
      <c r="B65" s="27"/>
      <c r="C65" s="27"/>
      <c r="D65" s="27"/>
      <c r="E65" s="27"/>
      <c r="F65" s="27"/>
      <c r="G65" s="27"/>
      <c r="H65" s="27"/>
    </row>
    <row r="66" spans="1:8" s="6" customFormat="1" ht="14.25">
      <c r="A66" s="28" t="s">
        <v>248</v>
      </c>
      <c r="B66" s="28"/>
      <c r="C66" s="28"/>
      <c r="D66" s="28"/>
      <c r="E66" s="28"/>
      <c r="F66" s="28"/>
      <c r="G66" s="28"/>
      <c r="H66" s="28"/>
    </row>
    <row r="67" spans="2:8" s="6" customFormat="1" ht="19.5">
      <c r="B67" s="29" t="s">
        <v>264</v>
      </c>
      <c r="C67" s="29"/>
      <c r="D67" s="29"/>
      <c r="E67" s="16">
        <f>0.125*E35/1000*D13*POWER(F17,2)</f>
        <v>287261.98292485694</v>
      </c>
      <c r="F67" s="6" t="s">
        <v>250</v>
      </c>
      <c r="G67" s="34"/>
      <c r="H67" s="34"/>
    </row>
    <row r="68" spans="2:7" s="6" customFormat="1" ht="18.75">
      <c r="B68" s="28" t="s">
        <v>265</v>
      </c>
      <c r="C68" s="28"/>
      <c r="D68" s="17">
        <f>E67/H11</f>
        <v>3.4471437950982837</v>
      </c>
      <c r="E68" s="6" t="s">
        <v>252</v>
      </c>
      <c r="F68" s="4" t="s">
        <v>253</v>
      </c>
      <c r="G68" s="3" t="s">
        <v>254</v>
      </c>
    </row>
    <row r="69" spans="1:8" s="6" customFormat="1" ht="18.75">
      <c r="A69" s="6" t="s">
        <v>255</v>
      </c>
      <c r="B69" s="30" t="s">
        <v>266</v>
      </c>
      <c r="C69" s="30"/>
      <c r="D69" s="30"/>
      <c r="E69" s="30"/>
      <c r="F69" s="18">
        <v>13</v>
      </c>
      <c r="G69" s="6" t="s">
        <v>252</v>
      </c>
      <c r="H69" s="14"/>
    </row>
    <row r="70" spans="1:8" s="6" customFormat="1" ht="14.25">
      <c r="A70" s="28" t="s">
        <v>257</v>
      </c>
      <c r="B70" s="28"/>
      <c r="C70" s="28"/>
      <c r="D70" s="28"/>
      <c r="E70" s="28"/>
      <c r="F70" s="28"/>
      <c r="G70" s="28"/>
      <c r="H70" s="28"/>
    </row>
    <row r="71" spans="1:8" s="6" customFormat="1" ht="14.25">
      <c r="A71" s="28" t="s">
        <v>258</v>
      </c>
      <c r="B71" s="28"/>
      <c r="C71" s="28"/>
      <c r="D71" s="28"/>
      <c r="E71" s="28"/>
      <c r="F71" s="28"/>
      <c r="G71" s="28"/>
      <c r="H71" s="28"/>
    </row>
    <row r="72" spans="2:8" s="6" customFormat="1" ht="19.5">
      <c r="B72" s="34" t="s">
        <v>267</v>
      </c>
      <c r="C72" s="34"/>
      <c r="D72" s="34"/>
      <c r="E72" s="13">
        <f>5*E36/1000*D13*POWER(F17,4)/(384*E12*D11)</f>
        <v>0.42024340604783533</v>
      </c>
      <c r="F72" s="6" t="s">
        <v>260</v>
      </c>
      <c r="G72" s="4" t="s">
        <v>253</v>
      </c>
      <c r="H72" s="14" t="s">
        <v>50</v>
      </c>
    </row>
    <row r="73" spans="1:8" s="6" customFormat="1" ht="14.25">
      <c r="A73" s="6" t="s">
        <v>255</v>
      </c>
      <c r="B73" s="28" t="s">
        <v>261</v>
      </c>
      <c r="C73" s="28"/>
      <c r="D73" s="28"/>
      <c r="E73" s="28"/>
      <c r="F73" s="28"/>
      <c r="G73" s="28"/>
      <c r="H73" s="28"/>
    </row>
    <row r="74" spans="2:8" s="6" customFormat="1" ht="18.75">
      <c r="B74" s="34" t="s">
        <v>268</v>
      </c>
      <c r="C74" s="34"/>
      <c r="D74" s="6">
        <f>F17/500</f>
        <v>1.8</v>
      </c>
      <c r="E74" s="6" t="s">
        <v>260</v>
      </c>
      <c r="F74" s="34"/>
      <c r="G74" s="34"/>
      <c r="H74" s="34"/>
    </row>
    <row r="75" spans="1:8" s="6" customFormat="1" ht="14.25">
      <c r="A75" s="28" t="s">
        <v>257</v>
      </c>
      <c r="B75" s="28"/>
      <c r="C75" s="28"/>
      <c r="D75" s="28"/>
      <c r="E75" s="28"/>
      <c r="F75" s="28"/>
      <c r="G75" s="28"/>
      <c r="H75" s="28"/>
    </row>
    <row r="76" spans="1:8" s="6" customFormat="1" ht="14.25">
      <c r="A76" s="34"/>
      <c r="B76" s="34"/>
      <c r="C76" s="34"/>
      <c r="D76" s="34"/>
      <c r="E76" s="34"/>
      <c r="F76" s="34"/>
      <c r="G76" s="34"/>
      <c r="H76" s="34"/>
    </row>
    <row r="77" spans="1:8" ht="15.75" customHeight="1">
      <c r="A77" s="30" t="s">
        <v>269</v>
      </c>
      <c r="B77" s="30"/>
      <c r="C77" s="30"/>
      <c r="D77" s="30"/>
      <c r="E77" s="30"/>
      <c r="F77" s="30"/>
      <c r="G77" s="30"/>
      <c r="H77" s="30"/>
    </row>
    <row r="78" spans="1:8" ht="15.75" customHeight="1">
      <c r="A78" s="30" t="s">
        <v>247</v>
      </c>
      <c r="B78" s="30"/>
      <c r="C78" s="30"/>
      <c r="D78" s="30"/>
      <c r="E78" s="30"/>
      <c r="F78" s="30"/>
      <c r="G78" s="30"/>
      <c r="H78" s="30"/>
    </row>
    <row r="79" spans="1:8" ht="15.75" customHeight="1">
      <c r="A79" s="27"/>
      <c r="B79" s="27"/>
      <c r="C79" s="27"/>
      <c r="D79" s="27"/>
      <c r="E79" s="27"/>
      <c r="F79" s="27"/>
      <c r="G79" s="27"/>
      <c r="H79" s="27"/>
    </row>
    <row r="80" spans="1:8" ht="15.75" customHeight="1">
      <c r="A80" s="27"/>
      <c r="B80" s="27"/>
      <c r="C80" s="27"/>
      <c r="D80" s="27"/>
      <c r="E80" s="27"/>
      <c r="F80" s="27"/>
      <c r="G80" s="27"/>
      <c r="H80" s="27"/>
    </row>
    <row r="81" spans="1:8" ht="15.75" customHeight="1">
      <c r="A81" s="27"/>
      <c r="B81" s="27"/>
      <c r="C81" s="27"/>
      <c r="D81" s="27"/>
      <c r="E81" s="27"/>
      <c r="F81" s="27"/>
      <c r="G81" s="27"/>
      <c r="H81" s="27"/>
    </row>
    <row r="82" spans="1:8" ht="15.75" customHeight="1">
      <c r="A82" s="27"/>
      <c r="B82" s="27"/>
      <c r="C82" s="27"/>
      <c r="D82" s="27"/>
      <c r="E82" s="27"/>
      <c r="F82" s="27"/>
      <c r="G82" s="27"/>
      <c r="H82" s="27"/>
    </row>
    <row r="83" spans="1:8" ht="15.75" customHeight="1">
      <c r="A83" s="27"/>
      <c r="B83" s="27"/>
      <c r="C83" s="27"/>
      <c r="D83" s="27"/>
      <c r="E83" s="27"/>
      <c r="F83" s="27"/>
      <c r="G83" s="27"/>
      <c r="H83" s="27"/>
    </row>
    <row r="84" spans="1:8" ht="15.75" customHeight="1">
      <c r="A84" s="27"/>
      <c r="B84" s="27"/>
      <c r="C84" s="27"/>
      <c r="D84" s="27"/>
      <c r="E84" s="27"/>
      <c r="F84" s="27"/>
      <c r="G84" s="27"/>
      <c r="H84" s="27"/>
    </row>
    <row r="85" spans="1:8" ht="15.75" customHeight="1">
      <c r="A85" s="27"/>
      <c r="B85" s="27"/>
      <c r="C85" s="27"/>
      <c r="D85" s="27"/>
      <c r="E85" s="27"/>
      <c r="F85" s="27"/>
      <c r="G85" s="27"/>
      <c r="H85" s="27"/>
    </row>
    <row r="86" spans="1:8" s="6" customFormat="1" ht="14.25">
      <c r="A86" s="28" t="s">
        <v>248</v>
      </c>
      <c r="B86" s="28"/>
      <c r="C86" s="28"/>
      <c r="D86" s="28"/>
      <c r="E86" s="28"/>
      <c r="F86" s="28"/>
      <c r="G86" s="28"/>
      <c r="H86" s="28"/>
    </row>
    <row r="87" spans="2:8" s="6" customFormat="1" ht="19.5">
      <c r="B87" s="29" t="s">
        <v>270</v>
      </c>
      <c r="C87" s="29"/>
      <c r="D87" s="16">
        <f>0.1*E35/1000*F17*POWER(C17,2)</f>
        <v>255343.98482209502</v>
      </c>
      <c r="E87" s="6" t="s">
        <v>250</v>
      </c>
      <c r="F87" s="34"/>
      <c r="G87" s="34"/>
      <c r="H87" s="34"/>
    </row>
    <row r="88" spans="2:7" s="6" customFormat="1" ht="16.5">
      <c r="B88" s="28" t="s">
        <v>271</v>
      </c>
      <c r="C88" s="28"/>
      <c r="D88" s="17">
        <f>D87/G15</f>
        <v>50.26456394135729</v>
      </c>
      <c r="E88" s="6" t="s">
        <v>252</v>
      </c>
      <c r="F88" s="4" t="s">
        <v>253</v>
      </c>
      <c r="G88" s="14" t="s">
        <v>272</v>
      </c>
    </row>
    <row r="89" spans="1:8" s="6" customFormat="1" ht="16.5">
      <c r="A89" s="6" t="s">
        <v>255</v>
      </c>
      <c r="B89" s="34" t="s">
        <v>273</v>
      </c>
      <c r="C89" s="34"/>
      <c r="D89" s="34"/>
      <c r="E89" s="18">
        <v>205</v>
      </c>
      <c r="F89" s="6" t="s">
        <v>252</v>
      </c>
      <c r="G89" s="34"/>
      <c r="H89" s="34"/>
    </row>
    <row r="90" spans="1:8" s="6" customFormat="1" ht="14.25">
      <c r="A90" s="28" t="s">
        <v>257</v>
      </c>
      <c r="B90" s="28"/>
      <c r="C90" s="28"/>
      <c r="D90" s="28"/>
      <c r="E90" s="28"/>
      <c r="F90" s="28"/>
      <c r="G90" s="28"/>
      <c r="H90" s="28"/>
    </row>
    <row r="91" spans="1:8" s="6" customFormat="1" ht="14.25">
      <c r="A91" s="28" t="s">
        <v>258</v>
      </c>
      <c r="B91" s="28"/>
      <c r="C91" s="28"/>
      <c r="D91" s="28"/>
      <c r="E91" s="28"/>
      <c r="F91" s="28"/>
      <c r="G91" s="28"/>
      <c r="H91" s="28"/>
    </row>
    <row r="92" spans="2:8" s="6" customFormat="1" ht="19.5">
      <c r="B92" s="34" t="s">
        <v>274</v>
      </c>
      <c r="C92" s="34"/>
      <c r="D92" s="34"/>
      <c r="E92" s="13">
        <f>0.677*E36/1000*F17*POWER(C17,4)/(100*G16*C16)</f>
        <v>0.12433148164235999</v>
      </c>
      <c r="F92" s="6" t="s">
        <v>260</v>
      </c>
      <c r="G92" s="4" t="s">
        <v>253</v>
      </c>
      <c r="H92" s="14" t="s">
        <v>50</v>
      </c>
    </row>
    <row r="93" spans="1:8" s="6" customFormat="1" ht="14.25">
      <c r="A93" s="6" t="s">
        <v>255</v>
      </c>
      <c r="B93" s="28" t="s">
        <v>261</v>
      </c>
      <c r="C93" s="28"/>
      <c r="D93" s="28"/>
      <c r="E93" s="28"/>
      <c r="F93" s="28"/>
      <c r="G93" s="28"/>
      <c r="H93" s="28"/>
    </row>
    <row r="94" spans="2:8" s="6" customFormat="1" ht="18.75">
      <c r="B94" s="34" t="s">
        <v>275</v>
      </c>
      <c r="C94" s="34"/>
      <c r="D94" s="6">
        <f>C17/500</f>
        <v>1</v>
      </c>
      <c r="E94" s="6" t="s">
        <v>260</v>
      </c>
      <c r="F94" s="34"/>
      <c r="G94" s="34"/>
      <c r="H94" s="34"/>
    </row>
    <row r="95" spans="1:8" s="6" customFormat="1" ht="14.25">
      <c r="A95" s="28" t="s">
        <v>257</v>
      </c>
      <c r="B95" s="28"/>
      <c r="C95" s="28"/>
      <c r="D95" s="28"/>
      <c r="E95" s="28"/>
      <c r="F95" s="28"/>
      <c r="G95" s="28"/>
      <c r="H95" s="28"/>
    </row>
    <row r="96" spans="1:8" ht="15.75" customHeight="1">
      <c r="A96" s="27"/>
      <c r="B96" s="27"/>
      <c r="C96" s="27"/>
      <c r="D96" s="27"/>
      <c r="E96" s="27"/>
      <c r="F96" s="27"/>
      <c r="G96" s="27"/>
      <c r="H96" s="27"/>
    </row>
    <row r="97" spans="1:8" s="6" customFormat="1" ht="14.25">
      <c r="A97" s="28" t="s">
        <v>276</v>
      </c>
      <c r="B97" s="28"/>
      <c r="C97" s="28"/>
      <c r="D97" s="28"/>
      <c r="E97" s="28"/>
      <c r="F97" s="28"/>
      <c r="G97" s="28"/>
      <c r="H97" s="28"/>
    </row>
    <row r="98" spans="1:8" s="6" customFormat="1" ht="18.75" customHeight="1">
      <c r="A98" s="28" t="s">
        <v>277</v>
      </c>
      <c r="B98" s="28"/>
      <c r="C98" s="28"/>
      <c r="D98" s="28"/>
      <c r="E98" s="28"/>
      <c r="F98" s="28"/>
      <c r="G98" s="19">
        <f>(38.4*(C17+F17*(F13+1))/1000+15*(2+F13))*H4*1.2</f>
        <v>2808.6079999999997</v>
      </c>
      <c r="H98" s="5" t="s">
        <v>278</v>
      </c>
    </row>
    <row r="99" spans="1:8" s="6" customFormat="1" ht="14.25">
      <c r="A99" s="28" t="s">
        <v>279</v>
      </c>
      <c r="B99" s="28"/>
      <c r="C99" s="28"/>
      <c r="D99" s="28"/>
      <c r="E99" s="28"/>
      <c r="F99" s="28"/>
      <c r="G99" s="28"/>
      <c r="H99" s="28"/>
    </row>
    <row r="100" spans="2:8" s="6" customFormat="1" ht="18.75">
      <c r="B100" s="28" t="s">
        <v>280</v>
      </c>
      <c r="C100" s="28"/>
      <c r="D100" s="28"/>
      <c r="E100" s="20">
        <f>E35*(C17/1000)*(F17/1000)+G98/1000</f>
        <v>7.915487696441901</v>
      </c>
      <c r="F100" s="6" t="s">
        <v>281</v>
      </c>
      <c r="G100" s="34"/>
      <c r="H100" s="34"/>
    </row>
    <row r="101" spans="1:8" s="6" customFormat="1" ht="14.25">
      <c r="A101" s="28" t="s">
        <v>282</v>
      </c>
      <c r="B101" s="28"/>
      <c r="C101" s="28"/>
      <c r="D101" s="28"/>
      <c r="E101" s="28"/>
      <c r="F101" s="28"/>
      <c r="G101" s="28"/>
      <c r="H101" s="28"/>
    </row>
    <row r="102" spans="1:8" s="6" customFormat="1" ht="14.25">
      <c r="A102" s="28" t="s">
        <v>283</v>
      </c>
      <c r="B102" s="28"/>
      <c r="C102" s="28"/>
      <c r="D102" s="28"/>
      <c r="E102" s="21">
        <v>11.6</v>
      </c>
      <c r="F102" s="6" t="s">
        <v>284</v>
      </c>
      <c r="G102" s="34"/>
      <c r="H102" s="34"/>
    </row>
    <row r="103" spans="1:8" s="6" customFormat="1" ht="14.25">
      <c r="A103" s="28" t="s">
        <v>257</v>
      </c>
      <c r="B103" s="28"/>
      <c r="C103" s="28"/>
      <c r="D103" s="28"/>
      <c r="E103" s="28"/>
      <c r="F103" s="28"/>
      <c r="G103" s="28"/>
      <c r="H103" s="28"/>
    </row>
    <row r="104" spans="1:8" ht="14.25">
      <c r="A104" s="27"/>
      <c r="B104" s="27"/>
      <c r="C104" s="27"/>
      <c r="D104" s="27"/>
      <c r="E104" s="27"/>
      <c r="F104" s="27"/>
      <c r="G104" s="27"/>
      <c r="H104" s="27"/>
    </row>
  </sheetData>
  <sheetProtection/>
  <mergeCells count="108">
    <mergeCell ref="B54:C54"/>
    <mergeCell ref="F54:H54"/>
    <mergeCell ref="A55:H55"/>
    <mergeCell ref="D34:E34"/>
    <mergeCell ref="A50:H50"/>
    <mergeCell ref="A51:H51"/>
    <mergeCell ref="B52:D52"/>
    <mergeCell ref="B53:H53"/>
    <mergeCell ref="B34:C34"/>
    <mergeCell ref="B35:D35"/>
    <mergeCell ref="B12:D12"/>
    <mergeCell ref="F12:H12"/>
    <mergeCell ref="B13:C13"/>
    <mergeCell ref="B47:D47"/>
    <mergeCell ref="G35:H35"/>
    <mergeCell ref="B36:D36"/>
    <mergeCell ref="G36:H36"/>
    <mergeCell ref="A37:H37"/>
    <mergeCell ref="A30:H30"/>
    <mergeCell ref="B31:C31"/>
    <mergeCell ref="B10:C10"/>
    <mergeCell ref="E10:F10"/>
    <mergeCell ref="B11:C11"/>
    <mergeCell ref="E11:G11"/>
    <mergeCell ref="A104:H104"/>
    <mergeCell ref="A38:H38"/>
    <mergeCell ref="A39:H39"/>
    <mergeCell ref="A46:H46"/>
    <mergeCell ref="B48:C48"/>
    <mergeCell ref="B49:D49"/>
    <mergeCell ref="A56:H56"/>
    <mergeCell ref="A101:H101"/>
    <mergeCell ref="A102:D102"/>
    <mergeCell ref="G49:H49"/>
    <mergeCell ref="A95:H95"/>
    <mergeCell ref="A96:H96"/>
    <mergeCell ref="G102:H102"/>
    <mergeCell ref="A103:H103"/>
    <mergeCell ref="A97:H97"/>
    <mergeCell ref="A98:F98"/>
    <mergeCell ref="A99:H99"/>
    <mergeCell ref="B100:D100"/>
    <mergeCell ref="G100:H100"/>
    <mergeCell ref="A91:H91"/>
    <mergeCell ref="B92:D92"/>
    <mergeCell ref="B93:H93"/>
    <mergeCell ref="B94:C94"/>
    <mergeCell ref="F94:H94"/>
    <mergeCell ref="B88:C88"/>
    <mergeCell ref="B89:D89"/>
    <mergeCell ref="G89:H89"/>
    <mergeCell ref="A90:H90"/>
    <mergeCell ref="A79:H85"/>
    <mergeCell ref="A86:H86"/>
    <mergeCell ref="B87:C87"/>
    <mergeCell ref="F87:H87"/>
    <mergeCell ref="A75:H75"/>
    <mergeCell ref="A76:H76"/>
    <mergeCell ref="A77:H77"/>
    <mergeCell ref="A78:H78"/>
    <mergeCell ref="B72:D72"/>
    <mergeCell ref="B73:H73"/>
    <mergeCell ref="B74:C74"/>
    <mergeCell ref="F74:H74"/>
    <mergeCell ref="A70:H70"/>
    <mergeCell ref="A71:H71"/>
    <mergeCell ref="B69:E69"/>
    <mergeCell ref="A57:H57"/>
    <mergeCell ref="A58:H58"/>
    <mergeCell ref="A66:H66"/>
    <mergeCell ref="B68:C68"/>
    <mergeCell ref="B67:D67"/>
    <mergeCell ref="G67:H67"/>
    <mergeCell ref="D31:E31"/>
    <mergeCell ref="B32:C32"/>
    <mergeCell ref="D32:E32"/>
    <mergeCell ref="D6:E6"/>
    <mergeCell ref="A9:B9"/>
    <mergeCell ref="D9:H9"/>
    <mergeCell ref="G6:H6"/>
    <mergeCell ref="B7:C7"/>
    <mergeCell ref="B8:C8"/>
    <mergeCell ref="E8:H8"/>
    <mergeCell ref="E7:G7"/>
    <mergeCell ref="A1:H1"/>
    <mergeCell ref="A2:H2"/>
    <mergeCell ref="A4:B4"/>
    <mergeCell ref="D4:E4"/>
    <mergeCell ref="A3:H3"/>
    <mergeCell ref="G5:H5"/>
    <mergeCell ref="D5:E5"/>
    <mergeCell ref="B5:C5"/>
    <mergeCell ref="B6:C6"/>
    <mergeCell ref="A14:B14"/>
    <mergeCell ref="C14:D14"/>
    <mergeCell ref="A15:B15"/>
    <mergeCell ref="D15:F15"/>
    <mergeCell ref="E14:H14"/>
    <mergeCell ref="A18:H27"/>
    <mergeCell ref="G13:H13"/>
    <mergeCell ref="A40:H45"/>
    <mergeCell ref="A59:H65"/>
    <mergeCell ref="A28:H28"/>
    <mergeCell ref="A29:H29"/>
    <mergeCell ref="A16:B16"/>
    <mergeCell ref="D16:F16"/>
    <mergeCell ref="A17:B17"/>
    <mergeCell ref="D17:E17"/>
  </mergeCells>
  <printOptions gridLines="1"/>
  <pageMargins left="0.7874015748031497" right="0.7874015748031497" top="0.7874015748031497" bottom="0.7874015748031497" header="0.5118110236220472" footer="0.5118110236220472"/>
  <pageSetup orientation="portrait" paperSize="9" r:id="rId6"/>
  <headerFooter alignWithMargins="0">
    <oddFooter>&amp;R&amp;P</oddFooter>
  </headerFooter>
  <legacyDrawing r:id="rId5"/>
  <oleObjects>
    <oleObject progId="AutoCAD.Drawing.15" shapeId="741372" r:id="rId1"/>
    <oleObject progId="AutoCAD.Drawing.15" shapeId="741373" r:id="rId2"/>
    <oleObject progId="AutoCAD.Drawing.15" shapeId="741374" r:id="rId3"/>
    <oleObject progId="AutoCAD.Drawing.14" shapeId="741375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="75" zoomScaleNormal="75" workbookViewId="0" topLeftCell="A1">
      <selection activeCell="I14" sqref="I14"/>
    </sheetView>
  </sheetViews>
  <sheetFormatPr defaultColWidth="9.00390625" defaultRowHeight="14.25"/>
  <sheetData>
    <row r="2" spans="1:3" ht="14.25">
      <c r="A2" s="27" t="s">
        <v>7</v>
      </c>
      <c r="B2" s="27"/>
      <c r="C2" s="3">
        <v>0.85</v>
      </c>
    </row>
    <row r="3" spans="1:3" ht="14.25">
      <c r="A3" s="27" t="s">
        <v>8</v>
      </c>
      <c r="B3" s="27"/>
      <c r="C3" s="3">
        <v>0.9</v>
      </c>
    </row>
    <row r="5" spans="1:9" ht="15.75">
      <c r="A5" s="41" t="s">
        <v>4</v>
      </c>
      <c r="B5" s="41"/>
      <c r="C5" s="41"/>
      <c r="D5" s="41"/>
      <c r="E5" s="41"/>
      <c r="F5" s="41"/>
      <c r="G5" s="41"/>
      <c r="H5" s="41"/>
      <c r="I5" s="41"/>
    </row>
    <row r="6" spans="2:6" ht="16.5">
      <c r="B6" s="27" t="s">
        <v>5</v>
      </c>
      <c r="C6" s="27"/>
      <c r="D6" s="27"/>
      <c r="E6" s="2">
        <v>2</v>
      </c>
      <c r="F6" t="s">
        <v>11</v>
      </c>
    </row>
    <row r="7" spans="2:6" ht="16.5">
      <c r="B7" s="27" t="s">
        <v>6</v>
      </c>
      <c r="C7" s="27"/>
      <c r="D7" s="27"/>
      <c r="E7" s="2">
        <v>4</v>
      </c>
      <c r="F7" t="s">
        <v>11</v>
      </c>
    </row>
  </sheetData>
  <sheetProtection password="CF85" sheet="1" objects="1" scenarios="1"/>
  <mergeCells count="5">
    <mergeCell ref="A5:I5"/>
    <mergeCell ref="B6:D6"/>
    <mergeCell ref="B7:D7"/>
    <mergeCell ref="A2:B2"/>
    <mergeCell ref="A3:B3"/>
  </mergeCells>
  <printOptions gridLines="1"/>
  <pageMargins left="0.75" right="0.75" top="1" bottom="1" header="0.5" footer="0.5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founderpc user</cp:lastModifiedBy>
  <cp:lastPrinted>2006-06-22T07:03:37Z</cp:lastPrinted>
  <dcterms:created xsi:type="dcterms:W3CDTF">2002-10-21T06:09:22Z</dcterms:created>
  <dcterms:modified xsi:type="dcterms:W3CDTF">2007-03-03T03:12:59Z</dcterms:modified>
  <cp:category/>
  <cp:version/>
  <cp:contentType/>
  <cp:contentStatus/>
</cp:coreProperties>
</file>