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6105" activeTab="0"/>
  </bookViews>
  <sheets>
    <sheet name="整体承台式" sheetId="1" r:id="rId1"/>
    <sheet name="十字梁式" sheetId="2" r:id="rId2"/>
    <sheet name="桩十字梁式" sheetId="3" r:id="rId3"/>
    <sheet name="参数" sheetId="4" r:id="rId4"/>
  </sheets>
  <definedNames/>
  <calcPr fullCalcOnLoad="1"/>
</workbook>
</file>

<file path=xl/sharedStrings.xml><?xml version="1.0" encoding="utf-8"?>
<sst xmlns="http://schemas.openxmlformats.org/spreadsheetml/2006/main" count="544" uniqueCount="394">
  <si>
    <t>偏心矩</t>
  </si>
  <si>
    <t>m</t>
  </si>
  <si>
    <t>mm</t>
  </si>
  <si>
    <t>N</t>
  </si>
  <si>
    <t>二、计算过程：</t>
  </si>
  <si>
    <t>一、计算参数：</t>
  </si>
  <si>
    <t>e</t>
  </si>
  <si>
    <t>考虑冲击荷载时取用的多边形面积（图中阴影部分的面积）</t>
  </si>
  <si>
    <t>塔吊的基础节和基础的交接处还必须验算受冲击承载力，危险截面为交接处向下和</t>
  </si>
  <si>
    <t>底面成45度的斜截面。</t>
  </si>
  <si>
    <t>初选基础面积</t>
  </si>
  <si>
    <r>
      <t>m</t>
    </r>
    <r>
      <rPr>
        <vertAlign val="superscript"/>
        <sz val="12"/>
        <rFont val="宋体"/>
        <family val="0"/>
      </rPr>
      <t>2</t>
    </r>
  </si>
  <si>
    <t>假设塔吊基础：</t>
  </si>
  <si>
    <t>表5.2.4 承载力修正系数</t>
  </si>
  <si>
    <t>淤泥和淤泥质土</t>
  </si>
  <si>
    <t>红粘土</t>
  </si>
  <si>
    <t>大面积压实填土</t>
  </si>
  <si>
    <t>土的类别</t>
  </si>
  <si>
    <t>粉土</t>
  </si>
  <si>
    <t>压实系数大于0.95、粘粒含量ρc≥10%的粉土，最大干密度大于2.1t/m3的级配砂石</t>
  </si>
  <si>
    <r>
      <t>η</t>
    </r>
    <r>
      <rPr>
        <vertAlign val="subscript"/>
        <sz val="12"/>
        <rFont val="宋体"/>
        <family val="0"/>
      </rPr>
      <t>d</t>
    </r>
  </si>
  <si>
    <r>
      <t>η</t>
    </r>
    <r>
      <rPr>
        <vertAlign val="subscript"/>
        <sz val="12"/>
        <rFont val="宋体"/>
        <family val="0"/>
      </rPr>
      <t>b</t>
    </r>
  </si>
  <si>
    <t>0              0</t>
  </si>
  <si>
    <t>1.5       2.0</t>
  </si>
  <si>
    <t>0.3   0.5</t>
  </si>
  <si>
    <t>1.5   2.0</t>
  </si>
  <si>
    <t>0     0.15</t>
  </si>
  <si>
    <t>1.2      1.4</t>
  </si>
  <si>
    <r>
      <t>人工填土                            e或I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大于等于0.85的粘性土</t>
    </r>
  </si>
  <si>
    <r>
      <t>e或I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均小</t>
    </r>
    <r>
      <rPr>
        <sz val="12"/>
        <rFont val="宋体"/>
        <family val="0"/>
      </rPr>
      <t>于0.85的粘性土</t>
    </r>
  </si>
  <si>
    <t>粉砂、细砂（不包括很湿与饱和时的稍密状态）</t>
  </si>
  <si>
    <t>中砂、粗砂、砾砂和碎石土</t>
  </si>
  <si>
    <t>修正地基承载力设计值</t>
  </si>
  <si>
    <t>基础底面宽度b(m)</t>
  </si>
  <si>
    <t>＜3m 取</t>
  </si>
  <si>
    <t>＞6m 取</t>
  </si>
  <si>
    <t>≤</t>
  </si>
  <si>
    <t>f</t>
  </si>
  <si>
    <t>1、塔吊型号</t>
  </si>
  <si>
    <t>2、塔吊荷载</t>
  </si>
  <si>
    <t>工作状态</t>
  </si>
  <si>
    <t>非工作状态</t>
  </si>
  <si>
    <t>塔吊在非工作状态垂直荷载较小，弯矩较大，故只计算非工作状态的受力情况</t>
  </si>
  <si>
    <t>3、假设基础尺寸</t>
  </si>
  <si>
    <t>基础持力层</t>
  </si>
  <si>
    <t>土的重度r=</t>
  </si>
  <si>
    <t>基础埋深(自然地面以下)d (m)</t>
  </si>
  <si>
    <r>
      <t>地基承载力标准值  f</t>
    </r>
    <r>
      <rPr>
        <sz val="6"/>
        <rFont val="宋体"/>
        <family val="0"/>
      </rPr>
      <t>k</t>
    </r>
    <r>
      <rPr>
        <sz val="12"/>
        <rFont val="宋体"/>
        <family val="0"/>
      </rPr>
      <t xml:space="preserve"> =</t>
    </r>
  </si>
  <si>
    <r>
      <t>A=1.4×F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/(f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-rd)=</t>
    </r>
  </si>
  <si>
    <t>长度l(m)</t>
  </si>
  <si>
    <t>宽度b(m)</t>
  </si>
  <si>
    <t>高度h(m)</t>
  </si>
  <si>
    <r>
      <t xml:space="preserve">     f = f</t>
    </r>
    <r>
      <rPr>
        <sz val="6"/>
        <rFont val="宋体"/>
        <family val="0"/>
      </rPr>
      <t>k</t>
    </r>
    <r>
      <rPr>
        <sz val="12"/>
        <rFont val="宋体"/>
        <family val="0"/>
      </rPr>
      <t>+η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>×r×( b-3)+η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×r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×( d-0.5)=</t>
    </r>
  </si>
  <si>
    <t>其中：</t>
  </si>
  <si>
    <r>
      <t>基础宽度的地基承载力修正系数η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 xml:space="preserve"> =</t>
    </r>
  </si>
  <si>
    <r>
      <t>基础深度的地基承载力修正系数η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 xml:space="preserve"> =</t>
    </r>
  </si>
  <si>
    <t>2. 验算地基承载力：</t>
  </si>
  <si>
    <t>2.1基础参数的计算：</t>
  </si>
  <si>
    <t>基础底面积A=b×l=</t>
  </si>
  <si>
    <t>2.2基础承载力的计算：</t>
  </si>
  <si>
    <t>基础上的覆土不考虑</t>
  </si>
  <si>
    <t>基础自重</t>
  </si>
  <si>
    <t>垂直荷载</t>
  </si>
  <si>
    <t>总弯矩</t>
  </si>
  <si>
    <t>＞</t>
  </si>
  <si>
    <t>合力作用点至基础底面最大压力边缘的距离a(m)</t>
  </si>
  <si>
    <r>
      <t>N/mm</t>
    </r>
    <r>
      <rPr>
        <vertAlign val="superscript"/>
        <sz val="12"/>
        <rFont val="宋体"/>
        <family val="0"/>
      </rPr>
      <t>2</t>
    </r>
  </si>
  <si>
    <r>
      <t>b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=(c+b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>)/2=</t>
    </r>
  </si>
  <si>
    <r>
      <t>mm</t>
    </r>
    <r>
      <rPr>
        <vertAlign val="superscript"/>
        <sz val="12"/>
        <rFont val="宋体"/>
        <family val="0"/>
      </rPr>
      <t>2</t>
    </r>
  </si>
  <si>
    <t>满足要求</t>
  </si>
  <si>
    <t>假设的塔吊基础尺寸能够满足安全使用要求</t>
  </si>
  <si>
    <t>查表得配筋</t>
  </si>
  <si>
    <t>基础混凝土强度</t>
  </si>
  <si>
    <r>
      <t>受冲切承载力截面高度影响系数β</t>
    </r>
    <r>
      <rPr>
        <vertAlign val="subscript"/>
        <sz val="12"/>
        <rFont val="宋体"/>
        <family val="0"/>
      </rPr>
      <t>hp</t>
    </r>
  </si>
  <si>
    <t>基础抗冲切验算</t>
  </si>
  <si>
    <t>含水比αw＞0.8             含水比αw≤0.8</t>
  </si>
  <si>
    <t>粘粒含量ρc≥10%的粉土    粘粒含量ρc＜10%的粉土</t>
  </si>
  <si>
    <t>h≥2000mm</t>
  </si>
  <si>
    <t>h≤800mm</t>
  </si>
  <si>
    <t>其间按线性内插法取用</t>
  </si>
  <si>
    <r>
      <t>A=</t>
    </r>
    <r>
      <rPr>
        <sz val="12"/>
        <rFont val="宋体"/>
        <family val="0"/>
      </rPr>
      <t>(l/2-c/2-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)</t>
    </r>
    <r>
      <rPr>
        <sz val="12"/>
        <rFont val="宋体"/>
        <family val="0"/>
      </rPr>
      <t>×b</t>
    </r>
    <r>
      <rPr>
        <sz val="12"/>
        <rFont val="宋体"/>
        <family val="0"/>
      </rPr>
      <t>-(l/2-c/2-h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)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</si>
  <si>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为基础钢筋的保护层厚度a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</t>
    </r>
    <r>
      <rPr>
        <vertAlign val="subscript"/>
        <sz val="12"/>
        <rFont val="宋体"/>
        <family val="0"/>
      </rPr>
      <t xml:space="preserve"> </t>
    </r>
  </si>
  <si>
    <t>覆土重量</t>
  </si>
  <si>
    <t>配重</t>
  </si>
  <si>
    <r>
      <t>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=25×b×l×h=</t>
    </r>
  </si>
  <si>
    <r>
      <t>e=M/(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)=</t>
    </r>
  </si>
  <si>
    <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=</t>
    </r>
  </si>
  <si>
    <t>最小配筋面积</t>
  </si>
  <si>
    <t>ρ为基础最小配筋率</t>
  </si>
  <si>
    <t>钢筋直径(mm)</t>
  </si>
  <si>
    <r>
      <t>截面面积(mm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</si>
  <si>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常用钢筋截面面积</t>
  </si>
  <si>
    <r>
      <t>配重高度h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(m)</t>
    </r>
  </si>
  <si>
    <r>
      <t>配重长度l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(m)</t>
    </r>
  </si>
  <si>
    <r>
      <t>配重宽度b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(m)</t>
    </r>
  </si>
  <si>
    <r>
      <t>1. 修正地基承载力设计值：</t>
    </r>
    <r>
      <rPr>
        <sz val="12"/>
        <rFont val="宋体"/>
        <family val="0"/>
      </rPr>
      <t>(</t>
    </r>
    <r>
      <rPr>
        <sz val="12"/>
        <rFont val="宋体"/>
        <family val="0"/>
      </rPr>
      <t>本基础设计不考虑上部覆土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  </t>
    </r>
  </si>
  <si>
    <r>
      <t>M =M</t>
    </r>
    <r>
      <rPr>
        <vertAlign val="subscript"/>
        <sz val="9"/>
        <rFont val="宋体"/>
        <family val="0"/>
      </rPr>
      <t>2</t>
    </r>
    <r>
      <rPr>
        <sz val="12"/>
        <rFont val="宋体"/>
        <family val="0"/>
      </rPr>
      <t>+H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(</t>
    </r>
    <r>
      <rPr>
        <sz val="12"/>
        <rFont val="宋体"/>
        <family val="0"/>
      </rPr>
      <t>h</t>
    </r>
    <r>
      <rPr>
        <sz val="12"/>
        <rFont val="宋体"/>
        <family val="0"/>
      </rPr>
      <t>+h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)</t>
    </r>
    <r>
      <rPr>
        <sz val="12"/>
        <rFont val="宋体"/>
        <family val="0"/>
      </rPr>
      <t>=</t>
    </r>
  </si>
  <si>
    <r>
      <t>1.2f</t>
    </r>
    <r>
      <rPr>
        <sz val="12"/>
        <rFont val="宋体"/>
        <family val="0"/>
      </rPr>
      <t>=</t>
    </r>
  </si>
  <si>
    <t>＜</t>
  </si>
  <si>
    <r>
      <t>β</t>
    </r>
    <r>
      <rPr>
        <vertAlign val="subscript"/>
        <sz val="12"/>
        <rFont val="宋体"/>
        <family val="0"/>
      </rPr>
      <t>hp</t>
    </r>
    <r>
      <rPr>
        <sz val="12"/>
        <rFont val="宋体"/>
        <family val="0"/>
      </rPr>
      <t>为受冲切承载力截面高度影响系数</t>
    </r>
  </si>
  <si>
    <r>
      <t>冲击承载力F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≤0.</t>
    </r>
    <r>
      <rPr>
        <sz val="12"/>
        <rFont val="宋体"/>
        <family val="0"/>
      </rPr>
      <t>7β</t>
    </r>
    <r>
      <rPr>
        <vertAlign val="subscript"/>
        <sz val="12"/>
        <rFont val="宋体"/>
        <family val="0"/>
      </rPr>
      <t>hp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×b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×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o</t>
    </r>
    <r>
      <rPr>
        <sz val="12"/>
        <rFont val="宋体"/>
        <family val="0"/>
      </rPr>
      <t>=</t>
    </r>
  </si>
  <si>
    <r>
      <t>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＞f</t>
    </r>
    <r>
      <rPr>
        <vertAlign val="subscript"/>
        <sz val="12"/>
        <rFont val="宋体"/>
        <family val="0"/>
      </rPr>
      <t>l</t>
    </r>
  </si>
  <si>
    <r>
      <t>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</t>
    </r>
  </si>
  <si>
    <r>
      <t>A</t>
    </r>
    <r>
      <rPr>
        <sz val="12"/>
        <rFont val="宋体"/>
        <family val="0"/>
      </rPr>
      <t>s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=ρbh=</t>
    </r>
  </si>
  <si>
    <t>kN</t>
  </si>
  <si>
    <t>kN∙m</t>
  </si>
  <si>
    <r>
      <t>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为钢</t>
    </r>
    <r>
      <rPr>
        <sz val="12"/>
        <rFont val="宋体"/>
        <family val="0"/>
      </rPr>
      <t>筋</t>
    </r>
    <r>
      <rPr>
        <sz val="12"/>
        <rFont val="宋体"/>
        <family val="0"/>
      </rPr>
      <t>的抗拉、抗压强度设计值查规范</t>
    </r>
  </si>
  <si>
    <r>
      <t>3</t>
    </r>
    <r>
      <rPr>
        <sz val="12"/>
        <rFont val="宋体"/>
        <family val="0"/>
      </rPr>
      <t>、计算简图</t>
    </r>
  </si>
  <si>
    <r>
      <t>c</t>
    </r>
    <r>
      <rPr>
        <sz val="12"/>
        <rFont val="宋体"/>
        <family val="0"/>
      </rPr>
      <t xml:space="preserve"> 的取值：</t>
    </r>
  </si>
  <si>
    <t>标准节尺寸</t>
  </si>
  <si>
    <t>m</t>
  </si>
  <si>
    <t>C25</t>
  </si>
  <si>
    <r>
      <t>kN/m</t>
    </r>
    <r>
      <rPr>
        <vertAlign val="superscript"/>
        <sz val="12"/>
        <rFont val="宋体"/>
        <family val="0"/>
      </rPr>
      <t>2</t>
    </r>
  </si>
  <si>
    <t>b/3=</t>
  </si>
  <si>
    <t>b/6=</t>
  </si>
  <si>
    <r>
      <t>a=</t>
    </r>
    <r>
      <rPr>
        <sz val="12"/>
        <rFont val="宋体"/>
        <family val="0"/>
      </rPr>
      <t>b</t>
    </r>
    <r>
      <rPr>
        <sz val="12"/>
        <rFont val="宋体"/>
        <family val="0"/>
      </rPr>
      <t>/2-e</t>
    </r>
  </si>
  <si>
    <r>
      <t>kN/m</t>
    </r>
    <r>
      <rPr>
        <vertAlign val="superscript"/>
        <sz val="12"/>
        <rFont val="宋体"/>
        <family val="0"/>
      </rPr>
      <t>2</t>
    </r>
  </si>
  <si>
    <r>
      <t>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=r×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×</t>
    </r>
    <r>
      <rPr>
        <sz val="12"/>
        <rFont val="宋体"/>
        <family val="0"/>
      </rPr>
      <t>(l×b-l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>)</t>
    </r>
    <r>
      <rPr>
        <sz val="12"/>
        <rFont val="宋体"/>
        <family val="0"/>
      </rPr>
      <t>=</t>
    </r>
  </si>
  <si>
    <r>
      <t>G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=25×b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×l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×h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=</t>
    </r>
  </si>
  <si>
    <r>
      <t>kN/m</t>
    </r>
    <r>
      <rPr>
        <vertAlign val="superscript"/>
        <sz val="12"/>
        <rFont val="宋体"/>
        <family val="0"/>
      </rPr>
      <t>3</t>
    </r>
  </si>
  <si>
    <r>
      <t>水平荷载H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(kN)</t>
    </r>
  </si>
  <si>
    <r>
      <t>垂直荷载F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(kN)</t>
    </r>
  </si>
  <si>
    <r>
      <t>弯矩M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(kN∙m)</t>
    </r>
  </si>
  <si>
    <r>
      <t>水平荷载H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(kN)</t>
    </r>
  </si>
  <si>
    <r>
      <t>垂直荷载F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(kN)</t>
    </r>
  </si>
  <si>
    <r>
      <t>弯矩M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(kN∙m)</t>
    </r>
  </si>
  <si>
    <r>
      <t>基础底面边缘最大压力设计值Pmax (kN/m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</si>
  <si>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3、基础抗冲切验算：</t>
  </si>
  <si>
    <r>
      <t>b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>=</t>
    </r>
    <r>
      <rPr>
        <sz val="12"/>
        <rFont val="宋体"/>
        <family val="0"/>
      </rPr>
      <t>=</t>
    </r>
    <r>
      <rPr>
        <sz val="12"/>
        <rFont val="宋体"/>
        <family val="0"/>
      </rPr>
      <t>c+</t>
    </r>
    <r>
      <rPr>
        <sz val="12"/>
        <rFont val="宋体"/>
        <family val="0"/>
      </rPr>
      <t>2h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=</t>
    </r>
  </si>
  <si>
    <r>
      <t>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为截面有效高度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=h-a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</t>
    </r>
  </si>
  <si>
    <t>4、结论</t>
  </si>
  <si>
    <t>5、配筋计算：</t>
  </si>
  <si>
    <r>
      <t>b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为冲切破坏最不利一侧计算长度</t>
    </r>
  </si>
  <si>
    <r>
      <t>基础底面以上土的加权平均重度r</t>
    </r>
    <r>
      <rPr>
        <vertAlign val="subscript"/>
        <sz val="12"/>
        <rFont val="宋体"/>
        <family val="0"/>
      </rPr>
      <t xml:space="preserve">m </t>
    </r>
    <r>
      <rPr>
        <sz val="12"/>
        <rFont val="宋体"/>
        <family val="0"/>
      </rPr>
      <t>=</t>
    </r>
  </si>
  <si>
    <r>
      <t xml:space="preserve"> 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=2×(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)/(3×l×a)=</t>
    </r>
  </si>
  <si>
    <r>
      <t>P</t>
    </r>
    <r>
      <rPr>
        <vertAlign val="subscript"/>
        <sz val="12"/>
        <rFont val="宋体"/>
        <family val="0"/>
      </rPr>
      <t>max</t>
    </r>
  </si>
  <si>
    <r>
      <t>P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=P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/2=</t>
    </r>
  </si>
  <si>
    <r>
      <t>基础底面处的平均压力值P</t>
    </r>
    <r>
      <rPr>
        <vertAlign val="subscript"/>
        <sz val="12"/>
        <rFont val="宋体"/>
        <family val="0"/>
      </rPr>
      <t>k</t>
    </r>
  </si>
  <si>
    <r>
      <t>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为混凝土的抗拉强度设计值查表得f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=</t>
    </r>
  </si>
  <si>
    <r>
      <t>实际冲击力为f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×A=</t>
    </r>
  </si>
  <si>
    <r>
      <t>地基净反力P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的计算</t>
    </r>
  </si>
  <si>
    <r>
      <t>塔身边缘净反力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P</t>
    </r>
    <r>
      <rPr>
        <vertAlign val="subscript"/>
        <sz val="12"/>
        <rFont val="宋体"/>
        <family val="0"/>
      </rPr>
      <t>j</t>
    </r>
    <r>
      <rPr>
        <sz val="12"/>
        <rFont val="宋体"/>
        <family val="0"/>
      </rPr>
      <t>=P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(1-(l-c)/6a)=</t>
    </r>
  </si>
  <si>
    <r>
      <t>地基净反力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P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=</t>
    </r>
    <r>
      <rPr>
        <sz val="12"/>
        <rFont val="宋体"/>
        <family val="0"/>
      </rPr>
      <t>(</t>
    </r>
    <r>
      <rPr>
        <sz val="12"/>
        <rFont val="宋体"/>
        <family val="0"/>
      </rPr>
      <t>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+P</t>
    </r>
    <r>
      <rPr>
        <vertAlign val="subscript"/>
        <sz val="12"/>
        <rFont val="宋体"/>
        <family val="0"/>
      </rPr>
      <t>j</t>
    </r>
    <r>
      <rPr>
        <sz val="12"/>
        <rFont val="宋体"/>
        <family val="0"/>
      </rPr>
      <t>-2G/A)</t>
    </r>
    <r>
      <rPr>
        <sz val="12"/>
        <rFont val="宋体"/>
        <family val="0"/>
      </rPr>
      <t>/2=</t>
    </r>
  </si>
  <si>
    <r>
      <t>弯矩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M=P</t>
    </r>
    <r>
      <rPr>
        <vertAlign val="subscript"/>
        <sz val="12"/>
        <rFont val="宋体"/>
        <family val="0"/>
      </rPr>
      <t>n</t>
    </r>
    <r>
      <rPr>
        <sz val="12"/>
        <rFont val="宋体"/>
        <family val="0"/>
      </rPr>
      <t>×（b-c)</t>
    </r>
    <r>
      <rPr>
        <vertAlign val="superscript"/>
        <sz val="9"/>
        <rFont val="宋体"/>
        <family val="0"/>
      </rPr>
      <t>2</t>
    </r>
    <r>
      <rPr>
        <sz val="12"/>
        <rFont val="宋体"/>
        <family val="0"/>
      </rPr>
      <t>×(2l+c)/24=</t>
    </r>
  </si>
  <si>
    <r>
      <t>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 xml:space="preserve"> =M/（0.9f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o</t>
    </r>
    <r>
      <rPr>
        <sz val="12"/>
        <rFont val="宋体"/>
        <family val="0"/>
      </rPr>
      <t>）=</t>
    </r>
  </si>
  <si>
    <r>
      <t>截面积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 xml:space="preserve"> 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</si>
  <si>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适用范围：</t>
  </si>
  <si>
    <t>采用钢筋混凝土独立基础的塔吊基础</t>
  </si>
  <si>
    <t>适用范围：</t>
  </si>
  <si>
    <t>1、塔吊型号</t>
  </si>
  <si>
    <t>m</t>
  </si>
  <si>
    <r>
      <t>水平荷载H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(kN)</t>
    </r>
  </si>
  <si>
    <t>塔吊在非工作状态垂直荷载较小，弯矩较大，故只计算非工作状态的受力情况</t>
  </si>
  <si>
    <t>3、假设基础尺寸</t>
  </si>
  <si>
    <t>基础持力层</t>
  </si>
  <si>
    <r>
      <t>2</t>
    </r>
    <r>
      <rPr>
        <vertAlign val="superscript"/>
        <sz val="12"/>
        <rFont val="宋体"/>
        <family val="0"/>
      </rPr>
      <t>＃</t>
    </r>
    <r>
      <rPr>
        <sz val="12"/>
        <rFont val="宋体"/>
        <family val="0"/>
      </rPr>
      <t>粘土</t>
    </r>
  </si>
  <si>
    <r>
      <t>kN/m</t>
    </r>
    <r>
      <rPr>
        <vertAlign val="superscript"/>
        <sz val="12"/>
        <rFont val="宋体"/>
        <family val="0"/>
      </rPr>
      <t>3</t>
    </r>
  </si>
  <si>
    <t>基础埋深(自然地面以下)d (m)</t>
  </si>
  <si>
    <r>
      <t>地基承载力标准值  f</t>
    </r>
    <r>
      <rPr>
        <sz val="6"/>
        <rFont val="宋体"/>
        <family val="0"/>
      </rPr>
      <t>k</t>
    </r>
    <r>
      <rPr>
        <sz val="12"/>
        <rFont val="宋体"/>
        <family val="0"/>
      </rPr>
      <t xml:space="preserve"> =</t>
    </r>
  </si>
  <si>
    <r>
      <t>kN/m</t>
    </r>
    <r>
      <rPr>
        <vertAlign val="superscript"/>
        <sz val="12"/>
        <rFont val="宋体"/>
        <family val="0"/>
      </rPr>
      <t>2</t>
    </r>
  </si>
  <si>
    <t>初选基础面积</t>
  </si>
  <si>
    <r>
      <t>A=1.4×F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/(f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-rd)=</t>
    </r>
  </si>
  <si>
    <r>
      <t>m</t>
    </r>
    <r>
      <rPr>
        <vertAlign val="superscript"/>
        <sz val="12"/>
        <rFont val="宋体"/>
        <family val="0"/>
      </rPr>
      <t>2</t>
    </r>
  </si>
  <si>
    <t>假设塔吊基础：</t>
  </si>
  <si>
    <t>高度h(m)</t>
  </si>
  <si>
    <t>基础混凝土强度</t>
  </si>
  <si>
    <r>
      <t>3</t>
    </r>
    <r>
      <rPr>
        <sz val="12"/>
        <rFont val="宋体"/>
        <family val="0"/>
      </rPr>
      <t>、计算简图</t>
    </r>
  </si>
  <si>
    <t>二、计算过程：</t>
  </si>
  <si>
    <r>
      <t>1. 修正地基承载力设计值：</t>
    </r>
    <r>
      <rPr>
        <sz val="12"/>
        <rFont val="宋体"/>
        <family val="0"/>
      </rPr>
      <t>(</t>
    </r>
    <r>
      <rPr>
        <sz val="12"/>
        <rFont val="宋体"/>
        <family val="0"/>
      </rPr>
      <t>本基础设计不考虑上部覆土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  </t>
    </r>
  </si>
  <si>
    <r>
      <t>kN/m</t>
    </r>
    <r>
      <rPr>
        <vertAlign val="superscript"/>
        <sz val="12"/>
        <rFont val="宋体"/>
        <family val="0"/>
      </rPr>
      <t>2</t>
    </r>
  </si>
  <si>
    <t>其中：</t>
  </si>
  <si>
    <r>
      <t>基础宽度的地基承载力修正系数η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 xml:space="preserve"> =</t>
    </r>
  </si>
  <si>
    <r>
      <t>基础深度的地基承载力修正系数η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 xml:space="preserve"> =</t>
    </r>
  </si>
  <si>
    <r>
      <t>基础底面以上土的加权平均重度r</t>
    </r>
    <r>
      <rPr>
        <vertAlign val="subscript"/>
        <sz val="12"/>
        <rFont val="宋体"/>
        <family val="0"/>
      </rPr>
      <t xml:space="preserve">m </t>
    </r>
    <r>
      <rPr>
        <sz val="12"/>
        <rFont val="宋体"/>
        <family val="0"/>
      </rPr>
      <t>=</t>
    </r>
  </si>
  <si>
    <r>
      <t>kN/m</t>
    </r>
    <r>
      <rPr>
        <vertAlign val="superscript"/>
        <sz val="12"/>
        <rFont val="宋体"/>
        <family val="0"/>
      </rPr>
      <t>3</t>
    </r>
  </si>
  <si>
    <t>2. 验算地基承载力：</t>
  </si>
  <si>
    <t>2.1基础参数的计算：</t>
  </si>
  <si>
    <r>
      <t>m</t>
    </r>
    <r>
      <rPr>
        <vertAlign val="superscript"/>
        <sz val="12"/>
        <rFont val="宋体"/>
        <family val="0"/>
      </rPr>
      <t>2</t>
    </r>
  </si>
  <si>
    <t>2.2基础承载力的计算：</t>
  </si>
  <si>
    <t>基础上的覆土不考虑</t>
  </si>
  <si>
    <t>基础自重</t>
  </si>
  <si>
    <t>配重</t>
  </si>
  <si>
    <t>垂直荷载</t>
  </si>
  <si>
    <t>总弯矩</t>
  </si>
  <si>
    <t>偏心矩</t>
  </si>
  <si>
    <t>m</t>
  </si>
  <si>
    <t>e</t>
  </si>
  <si>
    <t>≤</t>
  </si>
  <si>
    <t>合力作用点至基础底面最大压力边缘的距离a(m)</t>
  </si>
  <si>
    <t>m</t>
  </si>
  <si>
    <r>
      <t>基础底面边缘最大压力设计值Pmax (kN/m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</si>
  <si>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kN/m</t>
    </r>
    <r>
      <rPr>
        <vertAlign val="superscript"/>
        <sz val="12"/>
        <rFont val="宋体"/>
        <family val="0"/>
      </rPr>
      <t>2</t>
    </r>
  </si>
  <si>
    <r>
      <t>P</t>
    </r>
    <r>
      <rPr>
        <vertAlign val="subscript"/>
        <sz val="12"/>
        <rFont val="宋体"/>
        <family val="0"/>
      </rPr>
      <t>max</t>
    </r>
  </si>
  <si>
    <t>＜</t>
  </si>
  <si>
    <r>
      <t>1.2f</t>
    </r>
    <r>
      <rPr>
        <sz val="12"/>
        <rFont val="宋体"/>
        <family val="0"/>
      </rPr>
      <t>=</t>
    </r>
  </si>
  <si>
    <r>
      <t>kN/m</t>
    </r>
    <r>
      <rPr>
        <vertAlign val="superscript"/>
        <sz val="12"/>
        <rFont val="宋体"/>
        <family val="0"/>
      </rPr>
      <t>2</t>
    </r>
  </si>
  <si>
    <t>＜</t>
  </si>
  <si>
    <t>f</t>
  </si>
  <si>
    <r>
      <t>冲击承载力F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≤0.</t>
    </r>
    <r>
      <rPr>
        <sz val="12"/>
        <rFont val="宋体"/>
        <family val="0"/>
      </rPr>
      <t>7β</t>
    </r>
    <r>
      <rPr>
        <vertAlign val="subscript"/>
        <sz val="12"/>
        <rFont val="宋体"/>
        <family val="0"/>
      </rPr>
      <t>hp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×b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×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o</t>
    </r>
    <r>
      <rPr>
        <sz val="12"/>
        <rFont val="宋体"/>
        <family val="0"/>
      </rPr>
      <t>=</t>
    </r>
  </si>
  <si>
    <t>N</t>
  </si>
  <si>
    <t>其中：</t>
  </si>
  <si>
    <r>
      <t>β</t>
    </r>
    <r>
      <rPr>
        <vertAlign val="subscript"/>
        <sz val="12"/>
        <rFont val="宋体"/>
        <family val="0"/>
      </rPr>
      <t>hp</t>
    </r>
    <r>
      <rPr>
        <sz val="12"/>
        <rFont val="宋体"/>
        <family val="0"/>
      </rPr>
      <t>为受冲切承载力截面高度影响系数</t>
    </r>
  </si>
  <si>
    <r>
      <t>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为混凝土的抗拉强度设计值查表得f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</si>
  <si>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</si>
  <si>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t>mm</t>
  </si>
  <si>
    <t>mm</t>
  </si>
  <si>
    <t>N</t>
  </si>
  <si>
    <t>其中：</t>
  </si>
  <si>
    <r>
      <t>mm</t>
    </r>
    <r>
      <rPr>
        <vertAlign val="superscript"/>
        <sz val="12"/>
        <rFont val="宋体"/>
        <family val="0"/>
      </rPr>
      <t>2</t>
    </r>
  </si>
  <si>
    <r>
      <t>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＞f</t>
    </r>
    <r>
      <rPr>
        <vertAlign val="subscript"/>
        <sz val="12"/>
        <rFont val="宋体"/>
        <family val="0"/>
      </rPr>
      <t>l</t>
    </r>
  </si>
  <si>
    <t>假设的塔吊基础尺寸能够满足安全使用要求</t>
  </si>
  <si>
    <t>5、配筋计算：</t>
  </si>
  <si>
    <r>
      <t>mm</t>
    </r>
    <r>
      <rPr>
        <vertAlign val="superscript"/>
        <sz val="12"/>
        <rFont val="宋体"/>
        <family val="0"/>
      </rPr>
      <t>2</t>
    </r>
  </si>
  <si>
    <r>
      <t>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</si>
  <si>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</si>
  <si>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t>最小配筋面积</t>
  </si>
  <si>
    <r>
      <t>A</t>
    </r>
    <r>
      <rPr>
        <sz val="12"/>
        <rFont val="宋体"/>
        <family val="0"/>
      </rPr>
      <t>s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=ρbh=</t>
    </r>
  </si>
  <si>
    <r>
      <t>mm</t>
    </r>
    <r>
      <rPr>
        <vertAlign val="superscript"/>
        <sz val="12"/>
        <rFont val="宋体"/>
        <family val="0"/>
      </rPr>
      <t>2</t>
    </r>
  </si>
  <si>
    <t>查表得配筋</t>
  </si>
  <si>
    <r>
      <t>mm</t>
    </r>
    <r>
      <rPr>
        <vertAlign val="superscript"/>
        <sz val="12"/>
        <rFont val="宋体"/>
        <family val="0"/>
      </rPr>
      <t>2</t>
    </r>
  </si>
  <si>
    <t>满足要求</t>
  </si>
  <si>
    <t>采用钢筋混凝土十字梁式独立基础的塔吊基础</t>
  </si>
  <si>
    <r>
      <t>配重(</t>
    </r>
    <r>
      <rPr>
        <sz val="12"/>
        <rFont val="宋体"/>
        <family val="0"/>
      </rPr>
      <t>kN</t>
    </r>
    <r>
      <rPr>
        <sz val="12"/>
        <rFont val="宋体"/>
        <family val="0"/>
      </rPr>
      <t>)</t>
    </r>
  </si>
  <si>
    <r>
      <t>基础底面积A=b×</t>
    </r>
    <r>
      <rPr>
        <sz val="12"/>
        <rFont val="宋体"/>
        <family val="0"/>
      </rPr>
      <t>(2</t>
    </r>
    <r>
      <rPr>
        <sz val="12"/>
        <rFont val="宋体"/>
        <family val="0"/>
      </rPr>
      <t>l</t>
    </r>
    <r>
      <rPr>
        <sz val="12"/>
        <rFont val="宋体"/>
        <family val="0"/>
      </rPr>
      <t>-b)</t>
    </r>
    <r>
      <rPr>
        <sz val="12"/>
        <rFont val="宋体"/>
        <family val="0"/>
      </rPr>
      <t>=</t>
    </r>
  </si>
  <si>
    <r>
      <t>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</si>
  <si>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</si>
  <si>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t>l/3=</t>
  </si>
  <si>
    <t>l/6=</t>
  </si>
  <si>
    <r>
      <t>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=25×b×</t>
    </r>
    <r>
      <rPr>
        <sz val="12"/>
        <rFont val="宋体"/>
        <family val="0"/>
      </rPr>
      <t>(2</t>
    </r>
    <r>
      <rPr>
        <sz val="12"/>
        <rFont val="宋体"/>
        <family val="0"/>
      </rPr>
      <t>l</t>
    </r>
    <r>
      <rPr>
        <sz val="12"/>
        <rFont val="宋体"/>
        <family val="0"/>
      </rPr>
      <t>-b)</t>
    </r>
    <r>
      <rPr>
        <sz val="12"/>
        <rFont val="宋体"/>
        <family val="0"/>
      </rPr>
      <t>×h=</t>
    </r>
  </si>
  <si>
    <r>
      <t>M =M</t>
    </r>
    <r>
      <rPr>
        <vertAlign val="subscript"/>
        <sz val="9"/>
        <rFont val="宋体"/>
        <family val="0"/>
      </rPr>
      <t>2</t>
    </r>
    <r>
      <rPr>
        <sz val="12"/>
        <rFont val="宋体"/>
        <family val="0"/>
      </rPr>
      <t>+H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h</t>
    </r>
    <r>
      <rPr>
        <sz val="12"/>
        <rFont val="宋体"/>
        <family val="0"/>
      </rPr>
      <t>=</t>
    </r>
  </si>
  <si>
    <r>
      <t>e=M/(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)=</t>
    </r>
  </si>
  <si>
    <r>
      <t>a=</t>
    </r>
    <r>
      <rPr>
        <sz val="12"/>
        <rFont val="宋体"/>
        <family val="0"/>
      </rPr>
      <t>l</t>
    </r>
    <r>
      <rPr>
        <sz val="12"/>
        <rFont val="宋体"/>
        <family val="0"/>
      </rPr>
      <t>/2-e</t>
    </r>
  </si>
  <si>
    <r>
      <t xml:space="preserve"> P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=2×(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)/(3×</t>
    </r>
    <r>
      <rPr>
        <sz val="12"/>
        <rFont val="宋体"/>
        <family val="0"/>
      </rPr>
      <t>a</t>
    </r>
    <r>
      <rPr>
        <sz val="12"/>
        <rFont val="宋体"/>
        <family val="0"/>
      </rPr>
      <t>×</t>
    </r>
    <r>
      <rPr>
        <sz val="12"/>
        <rFont val="宋体"/>
        <family val="0"/>
      </rPr>
      <t>b</t>
    </r>
    <r>
      <rPr>
        <sz val="12"/>
        <rFont val="宋体"/>
        <family val="0"/>
      </rPr>
      <t>)=</t>
    </r>
  </si>
  <si>
    <r>
      <t>QT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</si>
  <si>
    <t>长度l(m)</t>
  </si>
  <si>
    <r>
      <t xml:space="preserve">     f = f</t>
    </r>
    <r>
      <rPr>
        <sz val="6"/>
        <rFont val="宋体"/>
        <family val="0"/>
      </rPr>
      <t>k</t>
    </r>
    <r>
      <rPr>
        <sz val="12"/>
        <rFont val="宋体"/>
        <family val="0"/>
      </rPr>
      <t>+η</t>
    </r>
    <r>
      <rPr>
        <vertAlign val="subscript"/>
        <sz val="12"/>
        <rFont val="宋体"/>
        <family val="0"/>
      </rPr>
      <t>b</t>
    </r>
    <r>
      <rPr>
        <sz val="12"/>
        <rFont val="宋体"/>
        <family val="0"/>
      </rPr>
      <t xml:space="preserve">×r×( </t>
    </r>
    <r>
      <rPr>
        <sz val="12"/>
        <rFont val="宋体"/>
        <family val="0"/>
      </rPr>
      <t>l</t>
    </r>
    <r>
      <rPr>
        <sz val="12"/>
        <rFont val="宋体"/>
        <family val="0"/>
      </rPr>
      <t>-3)+η</t>
    </r>
    <r>
      <rPr>
        <vertAlign val="subscript"/>
        <sz val="12"/>
        <rFont val="宋体"/>
        <family val="0"/>
      </rPr>
      <t>d</t>
    </r>
    <r>
      <rPr>
        <sz val="12"/>
        <rFont val="宋体"/>
        <family val="0"/>
      </rPr>
      <t>×r</t>
    </r>
    <r>
      <rPr>
        <vertAlign val="subscript"/>
        <sz val="12"/>
        <rFont val="宋体"/>
        <family val="0"/>
      </rPr>
      <t>m</t>
    </r>
    <r>
      <rPr>
        <sz val="12"/>
        <rFont val="宋体"/>
        <family val="0"/>
      </rPr>
      <t>×( d-0.5)=</t>
    </r>
  </si>
  <si>
    <t>抗拉强度</t>
  </si>
  <si>
    <t>砼强度等级</t>
  </si>
  <si>
    <r>
      <t>A</t>
    </r>
    <r>
      <rPr>
        <sz val="12"/>
        <rFont val="宋体"/>
        <family val="0"/>
      </rPr>
      <t>l</t>
    </r>
    <r>
      <rPr>
        <sz val="12"/>
        <rFont val="宋体"/>
        <family val="0"/>
      </rPr>
      <t>=</t>
    </r>
    <r>
      <rPr>
        <sz val="12"/>
        <rFont val="宋体"/>
        <family val="0"/>
      </rPr>
      <t>(l/2-c*0.707-</t>
    </r>
    <r>
      <rPr>
        <sz val="12"/>
        <rFont val="宋体"/>
        <family val="0"/>
      </rPr>
      <t>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)</t>
    </r>
    <r>
      <rPr>
        <sz val="12"/>
        <rFont val="宋体"/>
        <family val="0"/>
      </rPr>
      <t>×b=</t>
    </r>
  </si>
  <si>
    <r>
      <t>实际冲击力为f</t>
    </r>
    <r>
      <rPr>
        <vertAlign val="subscript"/>
        <sz val="12"/>
        <rFont val="宋体"/>
        <family val="0"/>
      </rPr>
      <t>l</t>
    </r>
    <r>
      <rPr>
        <sz val="12"/>
        <rFont val="宋体"/>
        <family val="0"/>
      </rPr>
      <t>=P</t>
    </r>
    <r>
      <rPr>
        <sz val="12"/>
        <rFont val="宋体"/>
        <family val="0"/>
      </rPr>
      <t>j</t>
    </r>
    <r>
      <rPr>
        <sz val="12"/>
        <rFont val="宋体"/>
        <family val="0"/>
      </rPr>
      <t>×A</t>
    </r>
    <r>
      <rPr>
        <sz val="12"/>
        <rFont val="宋体"/>
        <family val="0"/>
      </rPr>
      <t>l</t>
    </r>
    <r>
      <rPr>
        <sz val="12"/>
        <rFont val="宋体"/>
        <family val="0"/>
      </rPr>
      <t>=</t>
    </r>
    <r>
      <rPr>
        <sz val="12"/>
        <rFont val="宋体"/>
        <family val="0"/>
      </rPr>
      <t>(Pmax-(G1+G2)/A)*Al=</t>
    </r>
  </si>
  <si>
    <t>P=(3a-(l/2-b/2))/(3a)*Pmax=</t>
  </si>
  <si>
    <r>
      <t>M</t>
    </r>
    <r>
      <rPr>
        <sz val="12"/>
        <rFont val="宋体"/>
        <family val="0"/>
      </rPr>
      <t>=(Pmax-P)*b/3*(l/2-b/2)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+(p-(G1+G2)/A)*b/2*(l/2-b/2)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</si>
  <si>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t>6Φ22@ 200双向</t>
  </si>
  <si>
    <t>m</t>
  </si>
  <si>
    <r>
      <t>水平荷载H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(kN)</t>
    </r>
  </si>
  <si>
    <r>
      <t>垂直荷载F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(kN)</t>
    </r>
  </si>
  <si>
    <r>
      <t>配重(</t>
    </r>
    <r>
      <rPr>
        <sz val="12"/>
        <rFont val="宋体"/>
        <family val="0"/>
      </rPr>
      <t>kN</t>
    </r>
    <r>
      <rPr>
        <sz val="12"/>
        <rFont val="宋体"/>
        <family val="0"/>
      </rPr>
      <t>)</t>
    </r>
  </si>
  <si>
    <t>基础混凝土强度</t>
  </si>
  <si>
    <r>
      <t>3</t>
    </r>
    <r>
      <rPr>
        <sz val="12"/>
        <rFont val="宋体"/>
        <family val="0"/>
      </rPr>
      <t>、计算简图</t>
    </r>
  </si>
  <si>
    <r>
      <t>m</t>
    </r>
    <r>
      <rPr>
        <vertAlign val="superscript"/>
        <sz val="12"/>
        <rFont val="宋体"/>
        <family val="0"/>
      </rPr>
      <t>2</t>
    </r>
  </si>
  <si>
    <t>基础上的覆土不考虑</t>
  </si>
  <si>
    <r>
      <t>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</si>
  <si>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t>垂直荷载</t>
  </si>
  <si>
    <t>查表得配筋</t>
  </si>
  <si>
    <t>桩间距b(m)</t>
  </si>
  <si>
    <r>
      <t>桩长度</t>
    </r>
    <r>
      <rPr>
        <sz val="12"/>
        <rFont val="宋体"/>
        <family val="0"/>
      </rPr>
      <t>l</t>
    </r>
    <r>
      <rPr>
        <sz val="12"/>
        <rFont val="宋体"/>
        <family val="0"/>
      </rPr>
      <t>(</t>
    </r>
    <r>
      <rPr>
        <sz val="12"/>
        <rFont val="宋体"/>
        <family val="0"/>
      </rPr>
      <t>m)</t>
    </r>
  </si>
  <si>
    <t>标准节尺寸c</t>
  </si>
  <si>
    <r>
      <t>桩面积</t>
    </r>
    <r>
      <rPr>
        <sz val="12"/>
        <rFont val="宋体"/>
        <family val="0"/>
      </rPr>
      <t>A(m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</si>
  <si>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桩周长</t>
    </r>
    <r>
      <rPr>
        <sz val="12"/>
        <rFont val="宋体"/>
        <family val="0"/>
      </rPr>
      <t>u(m)</t>
    </r>
  </si>
  <si>
    <t>采用钢筋混凝土桩十字梁基础的塔吊基础</t>
  </si>
  <si>
    <r>
      <t>桩直径</t>
    </r>
    <r>
      <rPr>
        <sz val="12"/>
        <rFont val="宋体"/>
        <family val="0"/>
      </rPr>
      <t>D(m)</t>
    </r>
  </si>
  <si>
    <r>
      <t>桩边长</t>
    </r>
    <r>
      <rPr>
        <sz val="12"/>
        <rFont val="宋体"/>
        <family val="0"/>
      </rPr>
      <t>D(m)</t>
    </r>
  </si>
  <si>
    <t xml:space="preserve">1. 计算单桩承载力设计值：（不考虑桩端阻力）     </t>
  </si>
  <si>
    <t>1.1桩侧土层参数</t>
  </si>
  <si>
    <t>土层数</t>
  </si>
  <si>
    <t>u为桩身周长</t>
  </si>
  <si>
    <r>
      <t>l</t>
    </r>
    <r>
      <rPr>
        <vertAlign val="subscript"/>
        <sz val="12"/>
        <rFont val="宋体"/>
        <family val="0"/>
      </rPr>
      <t>i</t>
    </r>
    <r>
      <rPr>
        <sz val="12"/>
        <rFont val="宋体"/>
        <family val="0"/>
      </rPr>
      <t>为桩穿越第</t>
    </r>
    <r>
      <rPr>
        <sz val="12"/>
        <rFont val="宋体"/>
        <family val="0"/>
      </rPr>
      <t>i层土的厚度</t>
    </r>
  </si>
  <si>
    <r>
      <t>q</t>
    </r>
    <r>
      <rPr>
        <vertAlign val="subscript"/>
        <sz val="12"/>
        <rFont val="宋体"/>
        <family val="0"/>
      </rPr>
      <t>sik</t>
    </r>
    <r>
      <rPr>
        <sz val="12"/>
        <rFont val="宋体"/>
        <family val="0"/>
      </rPr>
      <t>为第</t>
    </r>
    <r>
      <rPr>
        <sz val="12"/>
        <rFont val="宋体"/>
        <family val="0"/>
      </rPr>
      <t>i层土</t>
    </r>
    <r>
      <rPr>
        <sz val="12"/>
        <rFont val="宋体"/>
        <family val="0"/>
      </rPr>
      <t>极限侧阻力标准值</t>
    </r>
  </si>
  <si>
    <r>
      <t>l</t>
    </r>
    <r>
      <rPr>
        <vertAlign val="subscript"/>
        <sz val="12"/>
        <rFont val="宋体"/>
        <family val="0"/>
      </rPr>
      <t>i（m）</t>
    </r>
  </si>
  <si>
    <r>
      <t>q</t>
    </r>
    <r>
      <rPr>
        <vertAlign val="subscript"/>
        <sz val="12"/>
        <rFont val="宋体"/>
        <family val="0"/>
      </rPr>
      <t>sik</t>
    </r>
    <r>
      <rPr>
        <sz val="12"/>
        <rFont val="宋体"/>
        <family val="0"/>
      </rPr>
      <t>（</t>
    </r>
    <r>
      <rPr>
        <sz val="12"/>
        <rFont val="宋体"/>
        <family val="0"/>
      </rPr>
      <t>kPa）</t>
    </r>
  </si>
  <si>
    <t>λi</t>
  </si>
  <si>
    <t>C</t>
  </si>
  <si>
    <t>抗压强度</t>
  </si>
  <si>
    <t>土类</t>
  </si>
  <si>
    <t>砂土</t>
  </si>
  <si>
    <t>粘性土</t>
  </si>
  <si>
    <t>粉土</t>
  </si>
  <si>
    <t>λ值</t>
  </si>
  <si>
    <t>0.50~0.70</t>
  </si>
  <si>
    <t>0.70~0.80</t>
  </si>
  <si>
    <r>
      <t>R</t>
    </r>
    <r>
      <rPr>
        <sz val="12"/>
        <rFont val="宋体"/>
        <family val="0"/>
      </rPr>
      <t>=Q</t>
    </r>
    <r>
      <rPr>
        <vertAlign val="subscript"/>
        <sz val="12"/>
        <rFont val="宋体"/>
        <family val="0"/>
      </rPr>
      <t>SK</t>
    </r>
    <r>
      <rPr>
        <sz val="12"/>
        <rFont val="宋体"/>
        <family val="0"/>
      </rPr>
      <t>/r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=u∑q</t>
    </r>
    <r>
      <rPr>
        <vertAlign val="subscript"/>
        <sz val="12"/>
        <rFont val="宋体"/>
        <family val="0"/>
      </rPr>
      <t>sik</t>
    </r>
    <r>
      <rPr>
        <sz val="12"/>
        <rFont val="宋体"/>
        <family val="0"/>
      </rPr>
      <t>l</t>
    </r>
    <r>
      <rPr>
        <vertAlign val="subscript"/>
        <sz val="12"/>
        <rFont val="宋体"/>
        <family val="0"/>
      </rPr>
      <t>i</t>
    </r>
    <r>
      <rPr>
        <sz val="12"/>
        <rFont val="宋体"/>
        <family val="0"/>
      </rPr>
      <t>/r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</t>
    </r>
  </si>
  <si>
    <r>
      <t>F</t>
    </r>
    <r>
      <rPr>
        <sz val="12"/>
        <rFont val="宋体"/>
        <family val="0"/>
      </rPr>
      <t>=U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/r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=u∑λ</t>
    </r>
    <r>
      <rPr>
        <vertAlign val="subscript"/>
        <sz val="12"/>
        <rFont val="宋体"/>
        <family val="0"/>
      </rPr>
      <t>i</t>
    </r>
    <r>
      <rPr>
        <sz val="12"/>
        <rFont val="宋体"/>
        <family val="0"/>
      </rPr>
      <t>qsikli/rs+G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=</t>
    </r>
  </si>
  <si>
    <t>抗拔系数λi</t>
  </si>
  <si>
    <t>λi为抗拔系数</t>
  </si>
  <si>
    <r>
      <t>G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为基桩自重设计值，地下水位以下取浮重度</t>
    </r>
  </si>
  <si>
    <r>
      <t>1</t>
    </r>
    <r>
      <rPr>
        <sz val="12"/>
        <rFont val="宋体"/>
        <family val="0"/>
      </rPr>
      <t>.3单桩抗拔力设计值</t>
    </r>
  </si>
  <si>
    <t>1.2单桩竖向承载力设计值</t>
  </si>
  <si>
    <r>
      <t>G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=（G+F)/5+G</t>
    </r>
    <r>
      <rPr>
        <vertAlign val="subscript"/>
        <sz val="12"/>
        <rFont val="宋体"/>
        <family val="0"/>
      </rPr>
      <t>Z</t>
    </r>
    <r>
      <rPr>
        <sz val="12"/>
        <rFont val="宋体"/>
        <family val="0"/>
      </rPr>
      <t>=</t>
    </r>
  </si>
  <si>
    <t>地下水位(自然地面以下)d (m)</t>
  </si>
  <si>
    <r>
      <t>r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为桩基竖向承载力抗力分项系数</t>
    </r>
  </si>
  <si>
    <t>静载试验法</t>
  </si>
  <si>
    <t>经验参数法</t>
  </si>
  <si>
    <t>桩型及工艺</t>
  </si>
  <si>
    <t>预制桩、钢管桩</t>
  </si>
  <si>
    <t>大直径灌注桩</t>
  </si>
  <si>
    <t>泥浆护壁灌注桩</t>
  </si>
  <si>
    <t>干作业钻孔灌注桩</t>
  </si>
  <si>
    <t>沉管灌注桩</t>
  </si>
  <si>
    <r>
      <t>桩基竖向承载力抗力分项系数r</t>
    </r>
    <r>
      <rPr>
        <vertAlign val="subscript"/>
        <sz val="12"/>
        <rFont val="宋体"/>
        <family val="0"/>
      </rPr>
      <t>s</t>
    </r>
  </si>
  <si>
    <r>
      <t>基础底面积A=</t>
    </r>
    <r>
      <rPr>
        <sz val="12"/>
        <rFont val="宋体"/>
        <family val="0"/>
      </rPr>
      <t>a</t>
    </r>
    <r>
      <rPr>
        <sz val="12"/>
        <rFont val="宋体"/>
        <family val="0"/>
      </rPr>
      <t>×</t>
    </r>
    <r>
      <rPr>
        <sz val="12"/>
        <rFont val="宋体"/>
        <family val="0"/>
      </rPr>
      <t>(2</t>
    </r>
    <r>
      <rPr>
        <sz val="12"/>
        <rFont val="宋体"/>
        <family val="0"/>
      </rPr>
      <t>l</t>
    </r>
    <r>
      <rPr>
        <sz val="12"/>
        <rFont val="宋体"/>
        <family val="0"/>
      </rPr>
      <t>-a)</t>
    </r>
    <r>
      <rPr>
        <sz val="12"/>
        <rFont val="宋体"/>
        <family val="0"/>
      </rPr>
      <t>=</t>
    </r>
  </si>
  <si>
    <r>
      <t>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=25×</t>
    </r>
    <r>
      <rPr>
        <sz val="12"/>
        <rFont val="宋体"/>
        <family val="0"/>
      </rPr>
      <t>a</t>
    </r>
    <r>
      <rPr>
        <sz val="12"/>
        <rFont val="宋体"/>
        <family val="0"/>
      </rPr>
      <t>×</t>
    </r>
    <r>
      <rPr>
        <sz val="12"/>
        <rFont val="宋体"/>
        <family val="0"/>
      </rPr>
      <t>(2</t>
    </r>
    <r>
      <rPr>
        <sz val="12"/>
        <rFont val="宋体"/>
        <family val="0"/>
      </rPr>
      <t>l</t>
    </r>
    <r>
      <rPr>
        <sz val="12"/>
        <rFont val="宋体"/>
        <family val="0"/>
      </rPr>
      <t>-a)</t>
    </r>
    <r>
      <rPr>
        <sz val="12"/>
        <rFont val="宋体"/>
        <family val="0"/>
      </rPr>
      <t>×h=</t>
    </r>
  </si>
  <si>
    <t>2基础承载力验算：</t>
  </si>
  <si>
    <t>2.1基础自重</t>
  </si>
  <si>
    <r>
      <t>2</t>
    </r>
    <r>
      <rPr>
        <sz val="12"/>
        <rFont val="宋体"/>
        <family val="0"/>
      </rPr>
      <t>.2工作状态</t>
    </r>
  </si>
  <si>
    <r>
      <t>F+G=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</si>
  <si>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M =M</t>
    </r>
    <r>
      <rPr>
        <vertAlign val="subscript"/>
        <sz val="9"/>
        <rFont val="宋体"/>
        <family val="0"/>
      </rPr>
      <t>1</t>
    </r>
    <r>
      <rPr>
        <sz val="12"/>
        <rFont val="宋体"/>
        <family val="0"/>
      </rPr>
      <t>+H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×</t>
    </r>
    <r>
      <rPr>
        <sz val="12"/>
        <rFont val="宋体"/>
        <family val="0"/>
      </rPr>
      <t>h</t>
    </r>
    <r>
      <rPr>
        <sz val="12"/>
        <rFont val="宋体"/>
        <family val="0"/>
      </rPr>
      <t>=</t>
    </r>
  </si>
  <si>
    <r>
      <t>2</t>
    </r>
    <r>
      <rPr>
        <sz val="12"/>
        <rFont val="宋体"/>
        <family val="0"/>
      </rPr>
      <t>.3非工作状态</t>
    </r>
  </si>
  <si>
    <r>
      <t>F+G=</t>
    </r>
    <r>
      <rPr>
        <sz val="12"/>
        <rFont val="宋体"/>
        <family val="0"/>
      </rPr>
      <t>F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+G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=</t>
    </r>
  </si>
  <si>
    <r>
      <t>M =M</t>
    </r>
    <r>
      <rPr>
        <vertAlign val="subscript"/>
        <sz val="9"/>
        <rFont val="宋体"/>
        <family val="0"/>
      </rPr>
      <t>2</t>
    </r>
    <r>
      <rPr>
        <sz val="12"/>
        <rFont val="宋体"/>
        <family val="0"/>
      </rPr>
      <t>+H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×</t>
    </r>
    <r>
      <rPr>
        <sz val="12"/>
        <rFont val="宋体"/>
        <family val="0"/>
      </rPr>
      <t>h</t>
    </r>
    <r>
      <rPr>
        <sz val="12"/>
        <rFont val="宋体"/>
        <family val="0"/>
      </rPr>
      <t>=</t>
    </r>
  </si>
  <si>
    <r>
      <t>N</t>
    </r>
    <r>
      <rPr>
        <sz val="12"/>
        <rFont val="宋体"/>
        <family val="0"/>
      </rPr>
      <t>=(N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+N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)/2=</t>
    </r>
  </si>
  <si>
    <r>
      <t>N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</t>
    </r>
    <r>
      <rPr>
        <sz val="12"/>
        <rFont val="宋体"/>
        <family val="0"/>
      </rPr>
      <t>(F+G</t>
    </r>
    <r>
      <rPr>
        <sz val="12"/>
        <rFont val="宋体"/>
        <family val="0"/>
      </rPr>
      <t>)/</t>
    </r>
    <r>
      <rPr>
        <sz val="12"/>
        <rFont val="宋体"/>
        <family val="0"/>
      </rPr>
      <t>n+M/(2b)</t>
    </r>
    <r>
      <rPr>
        <sz val="12"/>
        <rFont val="宋体"/>
        <family val="0"/>
      </rPr>
      <t>=</t>
    </r>
  </si>
  <si>
    <r>
      <t>N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</t>
    </r>
    <r>
      <rPr>
        <sz val="12"/>
        <rFont val="宋体"/>
        <family val="0"/>
      </rPr>
      <t>(F+G</t>
    </r>
    <r>
      <rPr>
        <sz val="12"/>
        <rFont val="宋体"/>
        <family val="0"/>
      </rPr>
      <t>)/</t>
    </r>
    <r>
      <rPr>
        <sz val="12"/>
        <rFont val="宋体"/>
        <family val="0"/>
      </rPr>
      <t>n-M/(2b)</t>
    </r>
    <r>
      <rPr>
        <sz val="12"/>
        <rFont val="宋体"/>
        <family val="0"/>
      </rPr>
      <t>=</t>
    </r>
  </si>
  <si>
    <t>2.4承载力验算</t>
  </si>
  <si>
    <t>≥</t>
  </si>
  <si>
    <r>
      <t>k</t>
    </r>
    <r>
      <rPr>
        <sz val="12"/>
        <rFont val="宋体"/>
        <family val="0"/>
      </rPr>
      <t>N</t>
    </r>
  </si>
  <si>
    <t>Nmin=</t>
  </si>
  <si>
    <t>Nmax=</t>
  </si>
  <si>
    <r>
      <t>N</t>
    </r>
    <r>
      <rPr>
        <sz val="12"/>
        <rFont val="宋体"/>
        <family val="0"/>
      </rPr>
      <t>=</t>
    </r>
  </si>
  <si>
    <t>竖向力</t>
  </si>
  <si>
    <t>抗拔力</t>
  </si>
  <si>
    <r>
      <t>r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为重要性系数</t>
    </r>
  </si>
  <si>
    <r>
      <t>r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N</t>
    </r>
    <r>
      <rPr>
        <vertAlign val="subscript"/>
        <sz val="12"/>
        <rFont val="宋体"/>
        <family val="0"/>
      </rPr>
      <t>max</t>
    </r>
  </si>
  <si>
    <r>
      <t>r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N</t>
    </r>
  </si>
  <si>
    <r>
      <t>N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=</t>
    </r>
    <r>
      <rPr>
        <sz val="12"/>
        <rFont val="宋体"/>
        <family val="0"/>
      </rPr>
      <t>(F+G</t>
    </r>
    <r>
      <rPr>
        <sz val="12"/>
        <rFont val="宋体"/>
        <family val="0"/>
      </rPr>
      <t>)/</t>
    </r>
    <r>
      <rPr>
        <sz val="12"/>
        <rFont val="宋体"/>
        <family val="0"/>
      </rPr>
      <t>n+M/(2b)</t>
    </r>
    <r>
      <rPr>
        <sz val="12"/>
        <rFont val="宋体"/>
        <family val="0"/>
      </rPr>
      <t>=</t>
    </r>
  </si>
  <si>
    <r>
      <t>N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</t>
    </r>
    <r>
      <rPr>
        <sz val="12"/>
        <rFont val="宋体"/>
        <family val="0"/>
      </rPr>
      <t>(F+G</t>
    </r>
    <r>
      <rPr>
        <sz val="12"/>
        <rFont val="宋体"/>
        <family val="0"/>
      </rPr>
      <t>)/</t>
    </r>
    <r>
      <rPr>
        <sz val="12"/>
        <rFont val="宋体"/>
        <family val="0"/>
      </rPr>
      <t>n-M/(2b)</t>
    </r>
    <r>
      <rPr>
        <sz val="12"/>
        <rFont val="宋体"/>
        <family val="0"/>
      </rPr>
      <t>=</t>
    </r>
  </si>
  <si>
    <r>
      <t>r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N</t>
    </r>
    <r>
      <rPr>
        <vertAlign val="subscript"/>
        <sz val="12"/>
        <rFont val="宋体"/>
        <family val="0"/>
      </rPr>
      <t>min</t>
    </r>
  </si>
  <si>
    <r>
      <t>弯矩M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(kN∙m)</t>
    </r>
  </si>
  <si>
    <t>水平荷载</t>
  </si>
  <si>
    <r>
      <t>扭矩M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(kN∙m)</t>
    </r>
  </si>
  <si>
    <r>
      <t>H=H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/n</t>
    </r>
    <r>
      <rPr>
        <sz val="12"/>
        <rFont val="宋体"/>
        <family val="0"/>
      </rPr>
      <t>=</t>
    </r>
  </si>
  <si>
    <r>
      <t>H</t>
    </r>
    <r>
      <rPr>
        <sz val="12"/>
        <rFont val="宋体"/>
        <family val="0"/>
      </rPr>
      <t>=</t>
    </r>
  </si>
  <si>
    <t>水平力</t>
  </si>
  <si>
    <r>
      <t>H=H</t>
    </r>
    <r>
      <rPr>
        <vertAlign val="subscript"/>
        <sz val="12"/>
        <rFont val="宋体"/>
        <family val="0"/>
      </rPr>
      <t>1</t>
    </r>
    <r>
      <rPr>
        <sz val="12"/>
        <rFont val="宋体"/>
        <family val="0"/>
      </rPr>
      <t>/n</t>
    </r>
    <r>
      <rPr>
        <sz val="12"/>
        <rFont val="宋体"/>
        <family val="0"/>
      </rPr>
      <t>+M</t>
    </r>
    <r>
      <rPr>
        <vertAlign val="subscript"/>
        <sz val="12"/>
        <rFont val="宋体"/>
        <family val="0"/>
      </rPr>
      <t>k</t>
    </r>
    <r>
      <rPr>
        <sz val="12"/>
        <rFont val="宋体"/>
        <family val="0"/>
      </rPr>
      <t>/4b=</t>
    </r>
  </si>
  <si>
    <t>l/b</t>
  </si>
  <si>
    <t>l/d</t>
  </si>
  <si>
    <t>φ</t>
  </si>
  <si>
    <t>其中：</t>
  </si>
  <si>
    <r>
      <t>f</t>
    </r>
    <r>
      <rPr>
        <sz val="12"/>
        <rFont val="宋体"/>
        <family val="0"/>
      </rPr>
      <t>c为混凝土抗压强度设计值</t>
    </r>
  </si>
  <si>
    <t>桩混凝土强度</t>
  </si>
  <si>
    <t>C30</t>
  </si>
  <si>
    <r>
      <t>N</t>
    </r>
    <r>
      <rPr>
        <sz val="12"/>
        <rFont val="宋体"/>
        <family val="0"/>
      </rPr>
      <t>min</t>
    </r>
    <r>
      <rPr>
        <sz val="12"/>
        <rFont val="宋体"/>
        <family val="0"/>
      </rPr>
      <t>≤fyAs</t>
    </r>
  </si>
  <si>
    <r>
      <t>As=N</t>
    </r>
    <r>
      <rPr>
        <sz val="12"/>
        <rFont val="宋体"/>
        <family val="0"/>
      </rPr>
      <t>min</t>
    </r>
    <r>
      <rPr>
        <sz val="12"/>
        <rFont val="宋体"/>
        <family val="0"/>
      </rPr>
      <t>÷fy=</t>
    </r>
  </si>
  <si>
    <r>
      <t>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=(Nmax-0.9φf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A)</t>
    </r>
    <r>
      <rPr>
        <sz val="12"/>
        <rFont val="宋体"/>
        <family val="0"/>
      </rPr>
      <t>÷</t>
    </r>
    <r>
      <rPr>
        <sz val="12"/>
        <rFont val="宋体"/>
        <family val="0"/>
      </rPr>
      <t>0.9φf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</t>
    </r>
  </si>
  <si>
    <r>
      <t>m</t>
    </r>
    <r>
      <rPr>
        <sz val="12"/>
        <rFont val="宋体"/>
        <family val="0"/>
      </rPr>
      <t>m</t>
    </r>
    <r>
      <rPr>
        <vertAlign val="superscript"/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</si>
  <si>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s</t>
    </r>
    <r>
      <rPr>
        <vertAlign val="subscript"/>
        <sz val="12"/>
        <rFont val="宋体"/>
        <family val="0"/>
      </rPr>
      <t>min</t>
    </r>
    <r>
      <rPr>
        <sz val="12"/>
        <rFont val="宋体"/>
        <family val="0"/>
      </rPr>
      <t>=ρA=</t>
    </r>
  </si>
  <si>
    <r>
      <t>轴心</t>
    </r>
    <r>
      <rPr>
        <sz val="12"/>
        <rFont val="宋体"/>
        <family val="0"/>
      </rPr>
      <t>受拉验算</t>
    </r>
  </si>
  <si>
    <r>
      <t>轴心</t>
    </r>
    <r>
      <rPr>
        <sz val="12"/>
        <rFont val="宋体"/>
        <family val="0"/>
      </rPr>
      <t>受压验算</t>
    </r>
  </si>
  <si>
    <t>十字梁长度1(m)</t>
  </si>
  <si>
    <t>梁宽度a(m)</t>
  </si>
  <si>
    <t>梁高度h(m)</t>
  </si>
  <si>
    <t>M=Nmax*b-1/2q(l/2)2=</t>
  </si>
  <si>
    <r>
      <t>A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=a1f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a/f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(h</t>
    </r>
    <r>
      <rPr>
        <vertAlign val="subscript"/>
        <sz val="12"/>
        <rFont val="宋体"/>
        <family val="0"/>
      </rPr>
      <t>0</t>
    </r>
    <r>
      <rPr>
        <sz val="12"/>
        <rFont val="宋体"/>
        <family val="0"/>
      </rPr>
      <t>-(h</t>
    </r>
    <r>
      <rPr>
        <vertAlign val="subscript"/>
        <sz val="12"/>
        <rFont val="宋体"/>
        <family val="0"/>
      </rPr>
      <t>0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-2M/(a1f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a))</t>
    </r>
    <r>
      <rPr>
        <vertAlign val="superscript"/>
        <sz val="12"/>
        <rFont val="宋体"/>
        <family val="0"/>
      </rPr>
      <t>1/2</t>
    </r>
    <r>
      <rPr>
        <sz val="12"/>
        <rFont val="宋体"/>
        <family val="0"/>
      </rPr>
      <t>)</t>
    </r>
    <r>
      <rPr>
        <sz val="12"/>
        <rFont val="宋体"/>
        <family val="0"/>
      </rPr>
      <t>=</t>
    </r>
  </si>
  <si>
    <t>其中：</t>
  </si>
  <si>
    <r>
      <t>h</t>
    </r>
    <r>
      <rPr>
        <sz val="12"/>
        <rFont val="宋体"/>
        <family val="0"/>
      </rPr>
      <t>0=h-40=</t>
    </r>
  </si>
  <si>
    <t>fc=</t>
  </si>
  <si>
    <t>C30</t>
  </si>
  <si>
    <t>选用对称配筋，故十字梁配筋为双层双向11Φ22</t>
  </si>
  <si>
    <t>受压构件</t>
  </si>
  <si>
    <t>全部纵向钢筋</t>
  </si>
  <si>
    <t>一侧纵向钢筋</t>
  </si>
  <si>
    <t>最小配筋率表2（受弯、偏心受拉、轴心受拉构件一侧配筋）</t>
  </si>
  <si>
    <t>最小配筋率表1（受压构件）</t>
  </si>
  <si>
    <t>HPB235</t>
  </si>
  <si>
    <t>混凝土强度设计值</t>
  </si>
  <si>
    <r>
      <t>Nmax≤</t>
    </r>
    <r>
      <rPr>
        <sz val="12"/>
        <rFont val="宋体"/>
        <family val="0"/>
      </rPr>
      <t>0.9</t>
    </r>
    <r>
      <rPr>
        <sz val="12"/>
        <rFont val="宋体"/>
        <family val="0"/>
      </rPr>
      <t>φ</t>
    </r>
    <r>
      <rPr>
        <sz val="12"/>
        <rFont val="宋体"/>
        <family val="0"/>
      </rPr>
      <t>(f</t>
    </r>
    <r>
      <rPr>
        <vertAlign val="subscript"/>
        <sz val="12"/>
        <rFont val="宋体"/>
        <family val="0"/>
      </rPr>
      <t>c</t>
    </r>
    <r>
      <rPr>
        <sz val="12"/>
        <rFont val="宋体"/>
        <family val="0"/>
      </rPr>
      <t>A+f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As)</t>
    </r>
  </si>
  <si>
    <t>φ稳定系数取值</t>
  </si>
  <si>
    <t>混凝土</t>
  </si>
  <si>
    <t>强度等级</t>
  </si>
  <si>
    <r>
      <t>(f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=210N/mm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</si>
  <si>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HRB335</t>
  </si>
  <si>
    <r>
      <t>(f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=300N/mm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</si>
  <si>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r>
      <t>(f</t>
    </r>
    <r>
      <rPr>
        <vertAlign val="subscript"/>
        <sz val="12"/>
        <rFont val="宋体"/>
        <family val="0"/>
      </rPr>
      <t>y</t>
    </r>
    <r>
      <rPr>
        <sz val="12"/>
        <rFont val="宋体"/>
        <family val="0"/>
      </rPr>
      <t>=360N/mm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</si>
  <si>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HRB400</t>
  </si>
  <si>
    <t>C15</t>
  </si>
  <si>
    <t>C20</t>
  </si>
  <si>
    <t>C30</t>
  </si>
  <si>
    <t>C35</t>
  </si>
  <si>
    <t>C40</t>
  </si>
  <si>
    <t>C45</t>
  </si>
  <si>
    <t>C50</t>
  </si>
  <si>
    <t>C55</t>
  </si>
  <si>
    <t>C60</t>
  </si>
  <si>
    <t>3.2十字梁配筋计算</t>
  </si>
  <si>
    <t>3.1桩配筋计算</t>
  </si>
  <si>
    <t>3、配筋计算：</t>
  </si>
  <si>
    <r>
      <t>QT</t>
    </r>
    <r>
      <rPr>
        <sz val="12"/>
        <rFont val="宋体"/>
        <family val="0"/>
      </rPr>
      <t>Z5013</t>
    </r>
  </si>
  <si>
    <t>16Φ16,Φ8@250</t>
  </si>
  <si>
    <t>14Φ22</t>
  </si>
  <si>
    <t>_____________</t>
  </si>
  <si>
    <t xml:space="preserve">塔吊基础计算  </t>
  </si>
  <si>
    <r>
      <t>Z</t>
    </r>
    <r>
      <rPr>
        <sz val="12"/>
        <rFont val="宋体"/>
        <family val="0"/>
      </rPr>
      <t>J5710</t>
    </r>
  </si>
  <si>
    <t>C35</t>
  </si>
  <si>
    <t>粘土</t>
  </si>
  <si>
    <t>Φ28 @ 125双向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</si>
</sst>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bscript"/>
      <sz val="12"/>
      <name val="宋体"/>
      <family val="0"/>
    </font>
    <font>
      <b/>
      <sz val="16"/>
      <name val="宋体"/>
      <family val="0"/>
    </font>
    <font>
      <vertAlign val="superscript"/>
      <sz val="12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vertAlign val="subscript"/>
      <sz val="9"/>
      <name val="宋体"/>
      <family val="0"/>
    </font>
    <font>
      <vertAlign val="superscript"/>
      <sz val="9"/>
      <name val="宋体"/>
      <family val="0"/>
    </font>
    <font>
      <sz val="12"/>
      <name val="Times New Roman"/>
      <family val="1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 wrapText="1"/>
    </xf>
    <xf numFmtId="176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8" fontId="0" fillId="0" borderId="0" xfId="0" applyNumberFormat="1" applyFont="1" applyAlignment="1">
      <alignment horizontal="right"/>
    </xf>
    <xf numFmtId="0" fontId="0" fillId="2" borderId="0" xfId="0" applyFont="1" applyFill="1" applyAlignment="1" applyProtection="1">
      <alignment horizontal="center"/>
      <protection locked="0"/>
    </xf>
    <xf numFmtId="178" fontId="0" fillId="2" borderId="0" xfId="0" applyNumberFormat="1" applyFont="1" applyFill="1" applyAlignment="1" applyProtection="1">
      <alignment horizontal="center"/>
      <protection locked="0"/>
    </xf>
    <xf numFmtId="176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176" fontId="0" fillId="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76" fontId="0" fillId="2" borderId="0" xfId="0" applyNumberFormat="1" applyFill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6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9" fontId="0" fillId="0" borderId="3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/>
    </xf>
    <xf numFmtId="179" fontId="0" fillId="0" borderId="6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0" fontId="0" fillId="0" borderId="6" xfId="0" applyBorder="1" applyAlignment="1">
      <alignment/>
    </xf>
    <xf numFmtId="0" fontId="0" fillId="0" borderId="8" xfId="0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 horizontal="right"/>
    </xf>
    <xf numFmtId="176" fontId="0" fillId="0" borderId="6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wrapText="1"/>
    </xf>
    <xf numFmtId="17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6" xfId="0" applyNumberForma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.wmf" /><Relationship Id="rId4" Type="http://schemas.openxmlformats.org/officeDocument/2006/relationships/image" Target="../media/image8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15</xdr:row>
      <xdr:rowOff>28575</xdr:rowOff>
    </xdr:from>
    <xdr:to>
      <xdr:col>2</xdr:col>
      <xdr:colOff>1476375</xdr:colOff>
      <xdr:row>27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171825"/>
          <a:ext cx="24193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32</xdr:row>
      <xdr:rowOff>38100</xdr:rowOff>
    </xdr:from>
    <xdr:to>
      <xdr:col>3</xdr:col>
      <xdr:colOff>314325</xdr:colOff>
      <xdr:row>46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257925"/>
          <a:ext cx="2524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76</xdr:row>
      <xdr:rowOff>47625</xdr:rowOff>
    </xdr:from>
    <xdr:to>
      <xdr:col>3</xdr:col>
      <xdr:colOff>409575</xdr:colOff>
      <xdr:row>90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5030450"/>
          <a:ext cx="31337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105</xdr:row>
      <xdr:rowOff>95250</xdr:rowOff>
    </xdr:from>
    <xdr:to>
      <xdr:col>3</xdr:col>
      <xdr:colOff>47625</xdr:colOff>
      <xdr:row>125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1088350"/>
          <a:ext cx="28479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1009650</xdr:colOff>
      <xdr:row>9</xdr:row>
      <xdr:rowOff>66675</xdr:rowOff>
    </xdr:from>
    <xdr:to>
      <xdr:col>2</xdr:col>
      <xdr:colOff>1333500</xdr:colOff>
      <xdr:row>24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09775"/>
          <a:ext cx="25812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32</xdr:row>
      <xdr:rowOff>0</xdr:rowOff>
    </xdr:from>
    <xdr:to>
      <xdr:col>3</xdr:col>
      <xdr:colOff>276225</xdr:colOff>
      <xdr:row>46</xdr:row>
      <xdr:rowOff>161925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6134100"/>
          <a:ext cx="25812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workbookViewId="0" topLeftCell="A91">
      <selection activeCell="E100" sqref="E100"/>
    </sheetView>
  </sheetViews>
  <sheetFormatPr defaultColWidth="9.00390625" defaultRowHeight="14.25"/>
  <cols>
    <col min="1" max="1" width="13.375" style="14" customWidth="1"/>
    <col min="2" max="2" width="11.625" style="14" customWidth="1"/>
    <col min="3" max="3" width="13.125" style="14" customWidth="1"/>
    <col min="4" max="4" width="11.125" style="14" customWidth="1"/>
    <col min="5" max="5" width="12.75390625" style="14" customWidth="1"/>
    <col min="6" max="6" width="13.375" style="14" customWidth="1"/>
    <col min="7" max="7" width="6.75390625" style="14" customWidth="1"/>
    <col min="8" max="16384" width="9.00390625" style="14" customWidth="1"/>
  </cols>
  <sheetData>
    <row r="1" spans="1:7" s="3" customFormat="1" ht="20.25">
      <c r="A1" s="108" t="s">
        <v>389</v>
      </c>
      <c r="B1" s="108"/>
      <c r="C1" s="108"/>
      <c r="D1" s="108"/>
      <c r="E1" s="108"/>
      <c r="F1" s="108"/>
      <c r="G1" s="9"/>
    </row>
    <row r="2" spans="1:7" s="3" customFormat="1" ht="14.25">
      <c r="A2" s="5" t="s">
        <v>146</v>
      </c>
      <c r="B2" s="101" t="s">
        <v>147</v>
      </c>
      <c r="C2" s="101"/>
      <c r="D2" s="101"/>
      <c r="E2" s="101"/>
      <c r="F2" s="101"/>
      <c r="G2" s="9"/>
    </row>
    <row r="3" spans="1:7" s="3" customFormat="1" ht="14.25">
      <c r="A3" s="101" t="s">
        <v>5</v>
      </c>
      <c r="B3" s="101"/>
      <c r="C3" s="101"/>
      <c r="D3" s="101"/>
      <c r="E3" s="101"/>
      <c r="F3" s="101"/>
      <c r="G3" s="9"/>
    </row>
    <row r="4" spans="1:7" s="3" customFormat="1" ht="14.25">
      <c r="A4" s="4" t="s">
        <v>38</v>
      </c>
      <c r="B4" s="21" t="s">
        <v>390</v>
      </c>
      <c r="C4" s="5" t="s">
        <v>109</v>
      </c>
      <c r="D4" s="21">
        <v>1.6</v>
      </c>
      <c r="E4" s="3" t="s">
        <v>110</v>
      </c>
      <c r="G4" s="9"/>
    </row>
    <row r="5" spans="1:7" s="3" customFormat="1" ht="14.25">
      <c r="A5" s="101" t="s">
        <v>39</v>
      </c>
      <c r="B5" s="101"/>
      <c r="C5" s="101"/>
      <c r="D5" s="101"/>
      <c r="E5" s="101"/>
      <c r="F5" s="101"/>
      <c r="G5" s="9"/>
    </row>
    <row r="6" spans="1:7" s="3" customFormat="1" ht="14.25">
      <c r="A6" s="100" t="s">
        <v>40</v>
      </c>
      <c r="B6" s="100"/>
      <c r="C6" s="100"/>
      <c r="D6" s="100" t="s">
        <v>41</v>
      </c>
      <c r="E6" s="100"/>
      <c r="F6" s="100"/>
      <c r="G6" s="9"/>
    </row>
    <row r="7" spans="1:7" s="3" customFormat="1" ht="33">
      <c r="A7" s="17" t="s">
        <v>120</v>
      </c>
      <c r="B7" s="17" t="s">
        <v>121</v>
      </c>
      <c r="C7" s="17" t="s">
        <v>122</v>
      </c>
      <c r="D7" s="17" t="s">
        <v>123</v>
      </c>
      <c r="E7" s="17" t="s">
        <v>124</v>
      </c>
      <c r="F7" s="17" t="s">
        <v>125</v>
      </c>
      <c r="G7" s="9"/>
    </row>
    <row r="8" spans="1:7" s="3" customFormat="1" ht="14.25">
      <c r="A8" s="21">
        <v>31</v>
      </c>
      <c r="B8" s="21">
        <v>785</v>
      </c>
      <c r="C8" s="21">
        <v>1039</v>
      </c>
      <c r="D8" s="21">
        <v>71</v>
      </c>
      <c r="E8" s="21">
        <v>725</v>
      </c>
      <c r="F8" s="21">
        <v>1668</v>
      </c>
      <c r="G8" s="9"/>
    </row>
    <row r="9" spans="1:7" s="3" customFormat="1" ht="14.25">
      <c r="A9" s="109" t="s">
        <v>42</v>
      </c>
      <c r="B9" s="109"/>
      <c r="C9" s="109"/>
      <c r="D9" s="109"/>
      <c r="E9" s="109"/>
      <c r="F9" s="109"/>
      <c r="G9" s="9"/>
    </row>
    <row r="10" spans="1:7" s="3" customFormat="1" ht="14.25">
      <c r="A10" s="101" t="s">
        <v>43</v>
      </c>
      <c r="B10" s="101"/>
      <c r="C10" s="101"/>
      <c r="D10" s="101"/>
      <c r="E10" s="101"/>
      <c r="F10" s="101"/>
      <c r="G10" s="9"/>
    </row>
    <row r="11" spans="1:7" s="3" customFormat="1" ht="16.5">
      <c r="A11" s="4" t="s">
        <v>44</v>
      </c>
      <c r="B11" s="21" t="s">
        <v>392</v>
      </c>
      <c r="C11" s="3" t="s">
        <v>45</v>
      </c>
      <c r="D11" s="21">
        <v>19.7</v>
      </c>
      <c r="E11" s="3" t="s">
        <v>119</v>
      </c>
      <c r="G11" s="9"/>
    </row>
    <row r="12" spans="1:7" s="3" customFormat="1" ht="14.25">
      <c r="A12" s="101" t="s">
        <v>46</v>
      </c>
      <c r="B12" s="101"/>
      <c r="C12" s="101"/>
      <c r="D12" s="21">
        <v>0.7</v>
      </c>
      <c r="E12" s="106"/>
      <c r="F12" s="106"/>
      <c r="G12" s="9"/>
    </row>
    <row r="13" spans="1:7" s="3" customFormat="1" ht="16.5">
      <c r="A13" s="101" t="s">
        <v>47</v>
      </c>
      <c r="B13" s="101"/>
      <c r="C13" s="22">
        <v>190</v>
      </c>
      <c r="D13" s="3" t="s">
        <v>112</v>
      </c>
      <c r="E13" s="106"/>
      <c r="F13" s="106"/>
      <c r="G13" s="9"/>
    </row>
    <row r="14" spans="1:7" s="3" customFormat="1" ht="18.75">
      <c r="A14" s="3" t="s">
        <v>10</v>
      </c>
      <c r="B14" s="100" t="s">
        <v>48</v>
      </c>
      <c r="C14" s="100"/>
      <c r="D14" s="6">
        <f>1.4*E8/(C13-D11*D12)</f>
        <v>5.760172521423301</v>
      </c>
      <c r="E14" s="3" t="s">
        <v>11</v>
      </c>
      <c r="G14" s="9"/>
    </row>
    <row r="15" spans="1:7" s="3" customFormat="1" ht="14.25">
      <c r="A15" s="101" t="s">
        <v>12</v>
      </c>
      <c r="B15" s="101"/>
      <c r="C15" s="101"/>
      <c r="D15" s="101"/>
      <c r="E15" s="101"/>
      <c r="F15" s="101"/>
      <c r="G15" s="9"/>
    </row>
    <row r="16" spans="1:7" s="3" customFormat="1" ht="14.25">
      <c r="A16" s="3" t="s">
        <v>49</v>
      </c>
      <c r="B16" s="23">
        <v>5</v>
      </c>
      <c r="C16" s="3" t="s">
        <v>50</v>
      </c>
      <c r="D16" s="23">
        <v>5</v>
      </c>
      <c r="E16" s="3" t="s">
        <v>51</v>
      </c>
      <c r="F16" s="23">
        <v>1.25</v>
      </c>
      <c r="G16" s="9"/>
    </row>
    <row r="17" spans="1:7" s="3" customFormat="1" ht="18.75">
      <c r="A17" s="3" t="s">
        <v>93</v>
      </c>
      <c r="B17" s="23">
        <v>5</v>
      </c>
      <c r="C17" s="3" t="s">
        <v>94</v>
      </c>
      <c r="D17" s="23">
        <v>5</v>
      </c>
      <c r="E17" s="3" t="s">
        <v>92</v>
      </c>
      <c r="F17" s="23">
        <v>0.7</v>
      </c>
      <c r="G17" s="9"/>
    </row>
    <row r="18" spans="1:7" s="3" customFormat="1" ht="14.25">
      <c r="A18" s="101" t="s">
        <v>72</v>
      </c>
      <c r="B18" s="101"/>
      <c r="C18" s="23" t="s">
        <v>391</v>
      </c>
      <c r="D18" s="106"/>
      <c r="E18" s="106"/>
      <c r="F18" s="106"/>
      <c r="G18" s="9"/>
    </row>
    <row r="19" spans="1:6" ht="14.25">
      <c r="A19" s="104" t="s">
        <v>107</v>
      </c>
      <c r="B19" s="104"/>
      <c r="C19" s="104"/>
      <c r="D19" s="104"/>
      <c r="E19" s="104"/>
      <c r="F19" s="104"/>
    </row>
    <row r="20" spans="1:6" ht="14.25">
      <c r="A20" s="105"/>
      <c r="B20" s="105"/>
      <c r="C20" s="105"/>
      <c r="D20" s="105"/>
      <c r="E20" s="105"/>
      <c r="F20" s="105"/>
    </row>
    <row r="21" spans="1:6" ht="14.25">
      <c r="A21" s="105"/>
      <c r="B21" s="105"/>
      <c r="C21" s="105"/>
      <c r="D21" s="105"/>
      <c r="E21" s="105"/>
      <c r="F21" s="105"/>
    </row>
    <row r="22" spans="1:6" ht="14.25">
      <c r="A22" s="105"/>
      <c r="B22" s="105"/>
      <c r="C22" s="105"/>
      <c r="D22" s="105"/>
      <c r="E22" s="105"/>
      <c r="F22" s="105"/>
    </row>
    <row r="23" spans="1:6" ht="14.25">
      <c r="A23" s="105"/>
      <c r="B23" s="105"/>
      <c r="C23" s="105"/>
      <c r="D23" s="105"/>
      <c r="E23" s="105"/>
      <c r="F23" s="105"/>
    </row>
    <row r="24" spans="1:6" ht="14.25">
      <c r="A24" s="105"/>
      <c r="B24" s="105"/>
      <c r="C24" s="105"/>
      <c r="D24" s="105"/>
      <c r="E24" s="105"/>
      <c r="F24" s="105"/>
    </row>
    <row r="25" spans="1:6" ht="14.25">
      <c r="A25" s="105"/>
      <c r="B25" s="105"/>
      <c r="C25" s="105"/>
      <c r="D25" s="105"/>
      <c r="E25" s="105"/>
      <c r="F25" s="105"/>
    </row>
    <row r="26" spans="1:6" ht="14.25">
      <c r="A26" s="105"/>
      <c r="B26" s="105"/>
      <c r="C26" s="105"/>
      <c r="D26" s="105"/>
      <c r="E26" s="105"/>
      <c r="F26" s="105"/>
    </row>
    <row r="27" spans="1:6" ht="14.25">
      <c r="A27" s="105"/>
      <c r="B27" s="105"/>
      <c r="C27" s="105"/>
      <c r="D27" s="105"/>
      <c r="E27" s="105"/>
      <c r="F27" s="105"/>
    </row>
    <row r="28" spans="1:6" ht="14.25">
      <c r="A28" s="105"/>
      <c r="B28" s="105"/>
      <c r="C28" s="105"/>
      <c r="D28" s="105"/>
      <c r="E28" s="105"/>
      <c r="F28" s="105"/>
    </row>
    <row r="29" spans="1:6" ht="14.25">
      <c r="A29" s="105"/>
      <c r="B29" s="105"/>
      <c r="C29" s="105"/>
      <c r="D29" s="105"/>
      <c r="E29" s="105"/>
      <c r="F29" s="105"/>
    </row>
    <row r="30" spans="1:6" ht="14.25">
      <c r="A30" s="105"/>
      <c r="B30" s="105"/>
      <c r="C30" s="105"/>
      <c r="D30" s="105"/>
      <c r="E30" s="105"/>
      <c r="F30" s="105"/>
    </row>
    <row r="31" spans="1:6" ht="14.25">
      <c r="A31" s="105"/>
      <c r="B31" s="105"/>
      <c r="C31" s="105"/>
      <c r="D31" s="105"/>
      <c r="E31" s="105"/>
      <c r="F31" s="105"/>
    </row>
    <row r="32" spans="1:6" ht="14.25">
      <c r="A32" s="105"/>
      <c r="B32" s="105"/>
      <c r="C32" s="105"/>
      <c r="D32" s="105"/>
      <c r="E32" s="105"/>
      <c r="F32" s="105"/>
    </row>
    <row r="33" spans="1:6" ht="14.25">
      <c r="A33" s="105"/>
      <c r="B33" s="105"/>
      <c r="C33" s="105"/>
      <c r="D33" s="105"/>
      <c r="E33" s="105"/>
      <c r="F33" s="105"/>
    </row>
    <row r="34" spans="1:7" s="3" customFormat="1" ht="14.25">
      <c r="A34" s="100"/>
      <c r="B34" s="100"/>
      <c r="C34" s="100"/>
      <c r="D34" s="100"/>
      <c r="E34" s="100"/>
      <c r="F34" s="100"/>
      <c r="G34" s="9"/>
    </row>
    <row r="35" spans="1:6" s="3" customFormat="1" ht="14.25">
      <c r="A35" s="101" t="s">
        <v>4</v>
      </c>
      <c r="B35" s="101"/>
      <c r="C35" s="101"/>
      <c r="D35" s="101"/>
      <c r="E35" s="101"/>
      <c r="F35" s="101"/>
    </row>
    <row r="36" spans="1:6" s="3" customFormat="1" ht="14.25">
      <c r="A36" s="101" t="s">
        <v>95</v>
      </c>
      <c r="B36" s="101"/>
      <c r="C36" s="101"/>
      <c r="D36" s="101"/>
      <c r="E36" s="101"/>
      <c r="F36" s="101"/>
    </row>
    <row r="37" spans="1:6" s="3" customFormat="1" ht="18.75">
      <c r="A37" s="100" t="s">
        <v>52</v>
      </c>
      <c r="B37" s="100"/>
      <c r="C37" s="100"/>
      <c r="D37" s="100"/>
      <c r="E37" s="7">
        <f>C13+E38*D11*(B16-3)+E39*E40*(D12-0.5)</f>
        <v>208.124</v>
      </c>
      <c r="F37" s="3" t="s">
        <v>116</v>
      </c>
    </row>
    <row r="38" spans="1:5" s="3" customFormat="1" ht="18.75">
      <c r="A38" s="3" t="s">
        <v>53</v>
      </c>
      <c r="B38" s="101" t="s">
        <v>54</v>
      </c>
      <c r="C38" s="101"/>
      <c r="D38" s="101"/>
      <c r="E38" s="24">
        <v>0.3</v>
      </c>
    </row>
    <row r="39" spans="2:5" s="3" customFormat="1" ht="18.75">
      <c r="B39" s="101" t="s">
        <v>55</v>
      </c>
      <c r="C39" s="101"/>
      <c r="D39" s="101"/>
      <c r="E39" s="24">
        <v>1.6</v>
      </c>
    </row>
    <row r="40" spans="2:6" s="3" customFormat="1" ht="18.75">
      <c r="B40" s="101" t="s">
        <v>133</v>
      </c>
      <c r="C40" s="101"/>
      <c r="D40" s="101"/>
      <c r="E40" s="24">
        <v>19.7</v>
      </c>
      <c r="F40" s="3" t="s">
        <v>119</v>
      </c>
    </row>
    <row r="41" spans="1:6" s="3" customFormat="1" ht="14.25">
      <c r="A41" s="101" t="s">
        <v>56</v>
      </c>
      <c r="B41" s="101"/>
      <c r="C41" s="101"/>
      <c r="D41" s="101"/>
      <c r="E41" s="101"/>
      <c r="F41" s="101"/>
    </row>
    <row r="42" spans="1:6" s="3" customFormat="1" ht="14.25">
      <c r="A42" s="101" t="s">
        <v>57</v>
      </c>
      <c r="B42" s="101"/>
      <c r="C42" s="101"/>
      <c r="D42" s="101"/>
      <c r="E42" s="101"/>
      <c r="F42" s="101"/>
    </row>
    <row r="43" spans="1:6" s="3" customFormat="1" ht="16.5">
      <c r="A43" s="101" t="s">
        <v>58</v>
      </c>
      <c r="B43" s="101"/>
      <c r="C43" s="7">
        <f>B16*D16</f>
        <v>25</v>
      </c>
      <c r="D43" s="3" t="s">
        <v>11</v>
      </c>
      <c r="E43" s="100"/>
      <c r="F43" s="100"/>
    </row>
    <row r="44" spans="1:6" s="3" customFormat="1" ht="14.25">
      <c r="A44" s="101" t="s">
        <v>59</v>
      </c>
      <c r="B44" s="101"/>
      <c r="C44" s="101"/>
      <c r="D44" s="101"/>
      <c r="E44" s="101"/>
      <c r="F44" s="101"/>
    </row>
    <row r="45" spans="1:6" s="3" customFormat="1" ht="14.25">
      <c r="A45" s="101" t="s">
        <v>60</v>
      </c>
      <c r="B45" s="101"/>
      <c r="C45" s="101"/>
      <c r="D45" s="101"/>
      <c r="E45" s="101"/>
      <c r="F45" s="101"/>
    </row>
    <row r="46" spans="1:5" s="3" customFormat="1" ht="18.75">
      <c r="A46" s="3" t="s">
        <v>61</v>
      </c>
      <c r="B46" s="101" t="s">
        <v>84</v>
      </c>
      <c r="C46" s="101"/>
      <c r="D46" s="7">
        <f>25*B16*D16*F16</f>
        <v>781.25</v>
      </c>
      <c r="E46" s="3" t="s">
        <v>104</v>
      </c>
    </row>
    <row r="47" spans="1:5" s="3" customFormat="1" ht="18.75">
      <c r="A47" s="3" t="s">
        <v>82</v>
      </c>
      <c r="B47" s="101" t="s">
        <v>117</v>
      </c>
      <c r="C47" s="101"/>
      <c r="D47" s="7">
        <v>0</v>
      </c>
      <c r="E47" s="3" t="s">
        <v>104</v>
      </c>
    </row>
    <row r="48" spans="1:5" s="3" customFormat="1" ht="18.75">
      <c r="A48" s="3" t="s">
        <v>83</v>
      </c>
      <c r="B48" s="101" t="s">
        <v>118</v>
      </c>
      <c r="C48" s="101"/>
      <c r="D48" s="7">
        <f>25*B17*D17*F17</f>
        <v>437.5</v>
      </c>
      <c r="E48" s="3" t="s">
        <v>104</v>
      </c>
    </row>
    <row r="49" spans="1:5" s="3" customFormat="1" ht="18.75">
      <c r="A49" s="3" t="s">
        <v>62</v>
      </c>
      <c r="B49" s="101" t="s">
        <v>86</v>
      </c>
      <c r="C49" s="101"/>
      <c r="D49" s="7">
        <f>D46+E8+D47+D48</f>
        <v>1943.75</v>
      </c>
      <c r="E49" s="3" t="s">
        <v>104</v>
      </c>
    </row>
    <row r="50" spans="1:10" s="3" customFormat="1" ht="18.75">
      <c r="A50" s="3" t="s">
        <v>63</v>
      </c>
      <c r="B50" s="101" t="s">
        <v>96</v>
      </c>
      <c r="C50" s="101"/>
      <c r="D50" s="7">
        <f>F8+D8*(F16+F17)</f>
        <v>1806.45</v>
      </c>
      <c r="E50" s="3" t="s">
        <v>105</v>
      </c>
      <c r="J50" s="1"/>
    </row>
    <row r="51" spans="1:5" s="3" customFormat="1" ht="18.75">
      <c r="A51" s="3" t="s">
        <v>0</v>
      </c>
      <c r="B51" s="101" t="s">
        <v>85</v>
      </c>
      <c r="C51" s="101"/>
      <c r="D51" s="7">
        <f>D50/D49</f>
        <v>0.9293633440514469</v>
      </c>
      <c r="E51" s="3" t="s">
        <v>1</v>
      </c>
    </row>
    <row r="52" spans="2:6" s="3" customFormat="1" ht="14.25">
      <c r="B52" s="5" t="s">
        <v>6</v>
      </c>
      <c r="C52" s="18" t="s">
        <v>36</v>
      </c>
      <c r="D52" s="6" t="s">
        <v>113</v>
      </c>
      <c r="E52" s="7">
        <f>D16/3</f>
        <v>1.6666666666666667</v>
      </c>
      <c r="F52" s="3" t="s">
        <v>1</v>
      </c>
    </row>
    <row r="53" spans="2:6" s="3" customFormat="1" ht="14.25">
      <c r="B53" s="5" t="s">
        <v>6</v>
      </c>
      <c r="C53" s="19" t="s">
        <v>64</v>
      </c>
      <c r="D53" s="6" t="s">
        <v>114</v>
      </c>
      <c r="E53" s="7">
        <f>D16/6</f>
        <v>0.8333333333333334</v>
      </c>
      <c r="F53" s="3" t="s">
        <v>1</v>
      </c>
    </row>
    <row r="54" spans="1:6" s="3" customFormat="1" ht="14.25">
      <c r="A54" s="101" t="s">
        <v>65</v>
      </c>
      <c r="B54" s="101"/>
      <c r="C54" s="101"/>
      <c r="D54" s="101"/>
      <c r="E54" s="101"/>
      <c r="F54" s="101"/>
    </row>
    <row r="55" spans="2:6" s="3" customFormat="1" ht="14.25">
      <c r="B55" s="3" t="s">
        <v>115</v>
      </c>
      <c r="C55" s="6">
        <f>D16/2-D51</f>
        <v>1.5706366559485532</v>
      </c>
      <c r="D55" s="3" t="s">
        <v>1</v>
      </c>
      <c r="E55" s="100"/>
      <c r="F55" s="100"/>
    </row>
    <row r="56" spans="1:6" s="3" customFormat="1" ht="16.5">
      <c r="A56" s="101" t="s">
        <v>126</v>
      </c>
      <c r="B56" s="101"/>
      <c r="C56" s="101"/>
      <c r="D56" s="101"/>
      <c r="E56" s="101"/>
      <c r="F56" s="101"/>
    </row>
    <row r="57" spans="1:7" s="3" customFormat="1" ht="18.75">
      <c r="A57" s="100" t="s">
        <v>134</v>
      </c>
      <c r="B57" s="100"/>
      <c r="C57" s="100"/>
      <c r="D57" s="7">
        <f>2*D49/(3*B16*C55)</f>
        <v>165.00739727747433</v>
      </c>
      <c r="E57" s="10" t="s">
        <v>112</v>
      </c>
      <c r="G57" s="10"/>
    </row>
    <row r="58" spans="1:7" s="3" customFormat="1" ht="18.75">
      <c r="A58" s="4"/>
      <c r="B58" s="5" t="s">
        <v>135</v>
      </c>
      <c r="C58" s="19" t="s">
        <v>98</v>
      </c>
      <c r="D58" s="3" t="s">
        <v>97</v>
      </c>
      <c r="E58" s="7">
        <f>E37*1.2</f>
        <v>249.7488</v>
      </c>
      <c r="F58" s="10" t="s">
        <v>116</v>
      </c>
      <c r="G58" s="10"/>
    </row>
    <row r="59" spans="1:7" s="3" customFormat="1" ht="18.75">
      <c r="A59" s="101" t="s">
        <v>137</v>
      </c>
      <c r="B59" s="101"/>
      <c r="C59" s="101"/>
      <c r="D59" s="101"/>
      <c r="E59" s="101"/>
      <c r="F59" s="101"/>
      <c r="G59" s="10"/>
    </row>
    <row r="60" spans="1:7" s="3" customFormat="1" ht="18.75">
      <c r="A60" s="4"/>
      <c r="B60" s="7" t="s">
        <v>136</v>
      </c>
      <c r="C60" s="12">
        <f>D57/2</f>
        <v>82.50369863873716</v>
      </c>
      <c r="D60" s="10" t="s">
        <v>112</v>
      </c>
      <c r="E60" s="19" t="s">
        <v>98</v>
      </c>
      <c r="F60" s="3" t="s">
        <v>37</v>
      </c>
      <c r="G60" s="10"/>
    </row>
    <row r="61" spans="1:7" s="3" customFormat="1" ht="14.25">
      <c r="A61" s="100"/>
      <c r="B61" s="100"/>
      <c r="C61" s="100"/>
      <c r="D61" s="100"/>
      <c r="E61" s="100"/>
      <c r="F61" s="100"/>
      <c r="G61" s="10"/>
    </row>
    <row r="62" spans="1:6" s="3" customFormat="1" ht="14.25">
      <c r="A62" s="101" t="s">
        <v>127</v>
      </c>
      <c r="B62" s="101"/>
      <c r="C62" s="101"/>
      <c r="D62" s="101"/>
      <c r="E62" s="101"/>
      <c r="F62" s="101"/>
    </row>
    <row r="63" spans="1:6" s="3" customFormat="1" ht="14.25">
      <c r="A63" s="101" t="s">
        <v>8</v>
      </c>
      <c r="B63" s="101"/>
      <c r="C63" s="101"/>
      <c r="D63" s="101"/>
      <c r="E63" s="101"/>
      <c r="F63" s="101"/>
    </row>
    <row r="64" spans="1:6" s="3" customFormat="1" ht="14.25">
      <c r="A64" s="101" t="s">
        <v>9</v>
      </c>
      <c r="B64" s="101"/>
      <c r="C64" s="101"/>
      <c r="D64" s="101"/>
      <c r="E64" s="101"/>
      <c r="F64" s="101"/>
    </row>
    <row r="65" spans="1:6" ht="14.25">
      <c r="A65" s="105"/>
      <c r="B65" s="105"/>
      <c r="C65" s="105"/>
      <c r="D65" s="105"/>
      <c r="E65" s="105"/>
      <c r="F65" s="105"/>
    </row>
    <row r="66" spans="1:6" ht="14.25">
      <c r="A66" s="105"/>
      <c r="B66" s="105"/>
      <c r="C66" s="105"/>
      <c r="D66" s="105"/>
      <c r="E66" s="105"/>
      <c r="F66" s="105"/>
    </row>
    <row r="67" spans="1:6" ht="14.25">
      <c r="A67" s="105"/>
      <c r="B67" s="105"/>
      <c r="C67" s="105"/>
      <c r="D67" s="105"/>
      <c r="E67" s="105"/>
      <c r="F67" s="105"/>
    </row>
    <row r="68" spans="1:6" ht="14.25">
      <c r="A68" s="105"/>
      <c r="B68" s="105"/>
      <c r="C68" s="105"/>
      <c r="D68" s="105"/>
      <c r="E68" s="105"/>
      <c r="F68" s="105"/>
    </row>
    <row r="69" spans="1:6" ht="14.25">
      <c r="A69" s="105"/>
      <c r="B69" s="105"/>
      <c r="C69" s="105"/>
      <c r="D69" s="105"/>
      <c r="E69" s="105"/>
      <c r="F69" s="105"/>
    </row>
    <row r="70" spans="1:6" ht="14.25">
      <c r="A70" s="105"/>
      <c r="B70" s="105"/>
      <c r="C70" s="105"/>
      <c r="D70" s="105"/>
      <c r="E70" s="105"/>
      <c r="F70" s="105"/>
    </row>
    <row r="71" spans="1:6" ht="14.25">
      <c r="A71" s="105"/>
      <c r="B71" s="105"/>
      <c r="C71" s="105"/>
      <c r="D71" s="105"/>
      <c r="E71" s="105"/>
      <c r="F71" s="105"/>
    </row>
    <row r="72" spans="1:6" ht="14.25">
      <c r="A72" s="105"/>
      <c r="B72" s="105"/>
      <c r="C72" s="105"/>
      <c r="D72" s="105"/>
      <c r="E72" s="105"/>
      <c r="F72" s="105"/>
    </row>
    <row r="73" spans="1:6" ht="14.25">
      <c r="A73" s="105"/>
      <c r="B73" s="105"/>
      <c r="C73" s="105"/>
      <c r="D73" s="105"/>
      <c r="E73" s="105"/>
      <c r="F73" s="105"/>
    </row>
    <row r="74" spans="1:6" ht="14.25">
      <c r="A74" s="105"/>
      <c r="B74" s="105"/>
      <c r="C74" s="105"/>
      <c r="D74" s="105"/>
      <c r="E74" s="105"/>
      <c r="F74" s="105"/>
    </row>
    <row r="75" spans="1:6" ht="14.25">
      <c r="A75" s="105"/>
      <c r="B75" s="105"/>
      <c r="C75" s="105"/>
      <c r="D75" s="105"/>
      <c r="E75" s="105"/>
      <c r="F75" s="105"/>
    </row>
    <row r="76" spans="1:6" ht="14.25">
      <c r="A76" s="105"/>
      <c r="B76" s="105"/>
      <c r="C76" s="105"/>
      <c r="D76" s="105"/>
      <c r="E76" s="105"/>
      <c r="F76" s="105"/>
    </row>
    <row r="77" spans="1:6" ht="14.25">
      <c r="A77" s="105"/>
      <c r="B77" s="105"/>
      <c r="C77" s="105"/>
      <c r="D77" s="105"/>
      <c r="E77" s="105"/>
      <c r="F77" s="105"/>
    </row>
    <row r="78" spans="1:6" ht="14.25">
      <c r="A78" s="105"/>
      <c r="B78" s="105"/>
      <c r="C78" s="105"/>
      <c r="D78" s="105"/>
      <c r="E78" s="105"/>
      <c r="F78" s="105"/>
    </row>
    <row r="79" spans="1:5" s="3" customFormat="1" ht="18.75">
      <c r="A79" s="101" t="s">
        <v>100</v>
      </c>
      <c r="B79" s="101"/>
      <c r="C79" s="101"/>
      <c r="D79" s="16">
        <f>0.7*E80*E81*D84*D86*1000</f>
        <v>3512507.3059999994</v>
      </c>
      <c r="E79" s="3" t="s">
        <v>3</v>
      </c>
    </row>
    <row r="80" spans="1:5" s="3" customFormat="1" ht="18.75">
      <c r="A80" s="3" t="s">
        <v>53</v>
      </c>
      <c r="B80" s="101" t="s">
        <v>99</v>
      </c>
      <c r="C80" s="101"/>
      <c r="D80" s="101"/>
      <c r="E80" s="25">
        <v>0.94</v>
      </c>
    </row>
    <row r="81" spans="2:6" s="3" customFormat="1" ht="18.75">
      <c r="B81" s="101" t="s">
        <v>138</v>
      </c>
      <c r="C81" s="101"/>
      <c r="D81" s="101"/>
      <c r="E81" s="25">
        <v>1.57</v>
      </c>
      <c r="F81" s="3" t="s">
        <v>66</v>
      </c>
    </row>
    <row r="82" spans="2:6" s="3" customFormat="1" ht="14.25">
      <c r="B82" s="4" t="s">
        <v>108</v>
      </c>
      <c r="C82" s="21">
        <v>1.6</v>
      </c>
      <c r="D82" s="3" t="s">
        <v>1</v>
      </c>
      <c r="E82" s="102"/>
      <c r="F82" s="102"/>
    </row>
    <row r="83" spans="2:6" s="3" customFormat="1" ht="18.75">
      <c r="B83" s="101" t="s">
        <v>132</v>
      </c>
      <c r="C83" s="101"/>
      <c r="D83" s="101"/>
      <c r="E83" s="101"/>
      <c r="F83" s="101"/>
    </row>
    <row r="84" spans="2:5" s="3" customFormat="1" ht="18.75">
      <c r="B84" s="100" t="s">
        <v>67</v>
      </c>
      <c r="C84" s="100"/>
      <c r="D84" s="3">
        <f>(C82+D85)/2</f>
        <v>2.8099999999999996</v>
      </c>
      <c r="E84" s="3" t="s">
        <v>1</v>
      </c>
    </row>
    <row r="85" spans="2:5" s="3" customFormat="1" ht="18.75">
      <c r="B85" s="100" t="s">
        <v>128</v>
      </c>
      <c r="C85" s="100"/>
      <c r="D85" s="3">
        <f>C82+2*D86/1000</f>
        <v>4.02</v>
      </c>
      <c r="E85" s="3" t="s">
        <v>1</v>
      </c>
    </row>
    <row r="86" spans="2:5" s="3" customFormat="1" ht="18.75">
      <c r="B86" s="101" t="s">
        <v>129</v>
      </c>
      <c r="C86" s="101"/>
      <c r="D86" s="3">
        <f>F16*1000-E87</f>
        <v>1210</v>
      </c>
      <c r="E86" s="3" t="s">
        <v>2</v>
      </c>
    </row>
    <row r="87" spans="2:6" s="3" customFormat="1" ht="18.75">
      <c r="B87" s="101" t="s">
        <v>81</v>
      </c>
      <c r="C87" s="101"/>
      <c r="D87" s="101"/>
      <c r="E87" s="3">
        <v>40</v>
      </c>
      <c r="F87" s="3" t="s">
        <v>2</v>
      </c>
    </row>
    <row r="88" spans="1:4" s="3" customFormat="1" ht="18.75">
      <c r="A88" s="101" t="s">
        <v>139</v>
      </c>
      <c r="B88" s="101"/>
      <c r="C88" s="13">
        <f>D57*E90/1000</f>
        <v>364649.8472434905</v>
      </c>
      <c r="D88" s="3" t="s">
        <v>3</v>
      </c>
    </row>
    <row r="89" spans="1:6" s="3" customFormat="1" ht="15.75" customHeight="1">
      <c r="A89" s="3" t="s">
        <v>53</v>
      </c>
      <c r="B89" s="101" t="s">
        <v>7</v>
      </c>
      <c r="C89" s="101"/>
      <c r="D89" s="101"/>
      <c r="E89" s="101"/>
      <c r="F89" s="101"/>
    </row>
    <row r="90" spans="2:6" s="3" customFormat="1" ht="18.75">
      <c r="B90" s="100" t="s">
        <v>80</v>
      </c>
      <c r="C90" s="100"/>
      <c r="D90" s="100"/>
      <c r="E90" s="3">
        <f>(B16*1000/2-C82*1000/2-D86)*(D16*1000)-(B16*1000/2-C82*1000/2-D86)*(B16*1000/2-C82*1000/2-D86)</f>
        <v>2209900</v>
      </c>
      <c r="F90" s="3" t="s">
        <v>68</v>
      </c>
    </row>
    <row r="91" spans="1:2" s="3" customFormat="1" ht="18.75">
      <c r="A91" s="21" t="s">
        <v>101</v>
      </c>
      <c r="B91" s="3" t="s">
        <v>69</v>
      </c>
    </row>
    <row r="92" spans="1:6" s="3" customFormat="1" ht="14.25">
      <c r="A92" s="110"/>
      <c r="B92" s="110"/>
      <c r="C92" s="110"/>
      <c r="D92" s="110"/>
      <c r="E92" s="110"/>
      <c r="F92" s="110"/>
    </row>
    <row r="93" spans="1:8" s="3" customFormat="1" ht="14.25">
      <c r="A93" s="101" t="s">
        <v>130</v>
      </c>
      <c r="B93" s="101"/>
      <c r="C93" s="101"/>
      <c r="D93" s="101"/>
      <c r="E93" s="101"/>
      <c r="F93" s="101"/>
      <c r="G93" s="7"/>
      <c r="H93" s="10"/>
    </row>
    <row r="94" spans="1:8" s="3" customFormat="1" ht="14.25">
      <c r="A94" s="100" t="s">
        <v>70</v>
      </c>
      <c r="B94" s="100"/>
      <c r="C94" s="100"/>
      <c r="D94" s="100"/>
      <c r="E94" s="100"/>
      <c r="F94" s="100"/>
      <c r="G94" s="7"/>
      <c r="H94" s="10"/>
    </row>
    <row r="95" spans="1:8" s="3" customFormat="1" ht="14.25">
      <c r="A95" s="100"/>
      <c r="B95" s="100"/>
      <c r="C95" s="100"/>
      <c r="D95" s="100"/>
      <c r="E95" s="100"/>
      <c r="F95" s="100"/>
      <c r="G95" s="7"/>
      <c r="H95" s="10"/>
    </row>
    <row r="96" spans="1:6" s="3" customFormat="1" ht="14.25">
      <c r="A96" s="101" t="s">
        <v>131</v>
      </c>
      <c r="B96" s="101"/>
      <c r="C96" s="101"/>
      <c r="D96" s="101"/>
      <c r="E96" s="101"/>
      <c r="F96" s="101"/>
    </row>
    <row r="97" spans="1:6" s="3" customFormat="1" ht="18.75">
      <c r="A97" s="101" t="s">
        <v>140</v>
      </c>
      <c r="B97" s="101"/>
      <c r="C97" s="101"/>
      <c r="D97" s="101"/>
      <c r="E97" s="101"/>
      <c r="F97" s="101"/>
    </row>
    <row r="98" spans="1:6" s="3" customFormat="1" ht="18.75">
      <c r="A98" s="101" t="s">
        <v>141</v>
      </c>
      <c r="B98" s="101"/>
      <c r="C98" s="101"/>
      <c r="D98" s="12">
        <f>D57*(1-(B16-C82)/(6*C55))</f>
        <v>105.47472851131792</v>
      </c>
      <c r="E98" s="10" t="s">
        <v>112</v>
      </c>
      <c r="F98" s="4"/>
    </row>
    <row r="99" spans="1:5" s="3" customFormat="1" ht="18.75">
      <c r="A99" s="101" t="s">
        <v>142</v>
      </c>
      <c r="B99" s="101"/>
      <c r="C99" s="101"/>
      <c r="D99" s="7">
        <f>(D57+D98-2*D46/(B16*D16))/2</f>
        <v>103.99106289439612</v>
      </c>
      <c r="E99" s="10" t="s">
        <v>112</v>
      </c>
    </row>
    <row r="100" spans="1:5" s="3" customFormat="1" ht="18.75">
      <c r="A100" s="101" t="s">
        <v>143</v>
      </c>
      <c r="B100" s="101"/>
      <c r="C100" s="101"/>
      <c r="D100" s="7">
        <f>D99*(D16-C82)*(D16-C82)*(2*B16+C82)/24</f>
        <v>581.0327320786226</v>
      </c>
      <c r="E100" s="3" t="s">
        <v>105</v>
      </c>
    </row>
    <row r="101" spans="1:6" s="3" customFormat="1" ht="18.75">
      <c r="A101" s="101" t="s">
        <v>144</v>
      </c>
      <c r="B101" s="101"/>
      <c r="C101" s="13">
        <f>D100*1000*1000/(0.9*C103*D86)</f>
        <v>1778.4901502253526</v>
      </c>
      <c r="D101" s="3" t="s">
        <v>68</v>
      </c>
      <c r="E101" s="100"/>
      <c r="F101" s="100"/>
    </row>
    <row r="102" spans="1:6" s="3" customFormat="1" ht="18.75">
      <c r="A102" s="3" t="s">
        <v>53</v>
      </c>
      <c r="B102" s="101" t="s">
        <v>106</v>
      </c>
      <c r="C102" s="101"/>
      <c r="D102" s="101"/>
      <c r="E102" s="101"/>
      <c r="F102" s="101"/>
    </row>
    <row r="103" spans="2:6" s="3" customFormat="1" ht="18.75">
      <c r="B103" s="11" t="s">
        <v>102</v>
      </c>
      <c r="C103" s="26">
        <v>300</v>
      </c>
      <c r="D103" s="3" t="s">
        <v>66</v>
      </c>
      <c r="E103" s="103"/>
      <c r="F103" s="103"/>
    </row>
    <row r="104" spans="1:6" s="3" customFormat="1" ht="18.75">
      <c r="A104" s="3" t="s">
        <v>87</v>
      </c>
      <c r="B104" s="4" t="s">
        <v>103</v>
      </c>
      <c r="C104" s="20">
        <f>D105*D16*1000*F16*1000</f>
        <v>9375</v>
      </c>
      <c r="D104" s="3" t="s">
        <v>68</v>
      </c>
      <c r="E104" s="103"/>
      <c r="F104" s="103"/>
    </row>
    <row r="105" spans="1:6" s="3" customFormat="1" ht="14.25">
      <c r="A105" s="3" t="s">
        <v>53</v>
      </c>
      <c r="B105" s="101" t="s">
        <v>88</v>
      </c>
      <c r="C105" s="101"/>
      <c r="D105" s="11">
        <v>0.0015</v>
      </c>
      <c r="E105" s="103"/>
      <c r="F105" s="103"/>
    </row>
    <row r="106" spans="1:6" ht="14.25">
      <c r="A106" s="3" t="s">
        <v>71</v>
      </c>
      <c r="B106" s="107" t="s">
        <v>393</v>
      </c>
      <c r="C106" s="107"/>
      <c r="D106" s="105"/>
      <c r="E106" s="105"/>
      <c r="F106" s="105"/>
    </row>
    <row r="107" spans="1:6" ht="18.75">
      <c r="A107" s="3"/>
      <c r="B107" s="104" t="s">
        <v>145</v>
      </c>
      <c r="C107" s="104"/>
      <c r="D107" s="21">
        <v>13816</v>
      </c>
      <c r="E107" s="3" t="s">
        <v>68</v>
      </c>
      <c r="F107" s="15" t="s">
        <v>69</v>
      </c>
    </row>
    <row r="108" spans="1:6" ht="14.25">
      <c r="A108" s="100"/>
      <c r="B108" s="100"/>
      <c r="C108" s="100"/>
      <c r="D108" s="100"/>
      <c r="E108" s="100"/>
      <c r="F108" s="100"/>
    </row>
  </sheetData>
  <sheetProtection/>
  <mergeCells count="79">
    <mergeCell ref="A65:F78"/>
    <mergeCell ref="E101:F101"/>
    <mergeCell ref="B102:F102"/>
    <mergeCell ref="A88:B88"/>
    <mergeCell ref="B80:D80"/>
    <mergeCell ref="A97:F97"/>
    <mergeCell ref="A99:C99"/>
    <mergeCell ref="A101:B101"/>
    <mergeCell ref="B87:D87"/>
    <mergeCell ref="B90:D90"/>
    <mergeCell ref="B51:C51"/>
    <mergeCell ref="B48:C48"/>
    <mergeCell ref="A64:F64"/>
    <mergeCell ref="E55:F55"/>
    <mergeCell ref="A56:F56"/>
    <mergeCell ref="A57:C57"/>
    <mergeCell ref="B81:D81"/>
    <mergeCell ref="A92:F92"/>
    <mergeCell ref="B89:F89"/>
    <mergeCell ref="B86:C86"/>
    <mergeCell ref="B83:F83"/>
    <mergeCell ref="B14:C14"/>
    <mergeCell ref="A3:F3"/>
    <mergeCell ref="A5:F5"/>
    <mergeCell ref="A12:C12"/>
    <mergeCell ref="E12:F12"/>
    <mergeCell ref="E13:F13"/>
    <mergeCell ref="A10:F10"/>
    <mergeCell ref="A13:B13"/>
    <mergeCell ref="A1:F1"/>
    <mergeCell ref="A6:C6"/>
    <mergeCell ref="D6:F6"/>
    <mergeCell ref="A9:F9"/>
    <mergeCell ref="B2:F2"/>
    <mergeCell ref="B106:C106"/>
    <mergeCell ref="A79:C79"/>
    <mergeCell ref="B40:D40"/>
    <mergeCell ref="B46:C46"/>
    <mergeCell ref="A93:F93"/>
    <mergeCell ref="A96:F96"/>
    <mergeCell ref="A100:C100"/>
    <mergeCell ref="A63:F63"/>
    <mergeCell ref="B47:C47"/>
    <mergeCell ref="E43:F43"/>
    <mergeCell ref="E103:F103"/>
    <mergeCell ref="B38:D38"/>
    <mergeCell ref="B50:C50"/>
    <mergeCell ref="B49:C49"/>
    <mergeCell ref="A95:F95"/>
    <mergeCell ref="A94:F94"/>
    <mergeCell ref="A59:F59"/>
    <mergeCell ref="A54:F54"/>
    <mergeCell ref="A98:C98"/>
    <mergeCell ref="B85:C85"/>
    <mergeCell ref="A15:F15"/>
    <mergeCell ref="A18:B18"/>
    <mergeCell ref="D18:F18"/>
    <mergeCell ref="A35:F35"/>
    <mergeCell ref="A19:F19"/>
    <mergeCell ref="A34:F34"/>
    <mergeCell ref="A20:F33"/>
    <mergeCell ref="A36:F36"/>
    <mergeCell ref="A44:F44"/>
    <mergeCell ref="A45:F45"/>
    <mergeCell ref="A37:D37"/>
    <mergeCell ref="A41:F41"/>
    <mergeCell ref="A42:F42"/>
    <mergeCell ref="A43:B43"/>
    <mergeCell ref="B39:D39"/>
    <mergeCell ref="A108:F108"/>
    <mergeCell ref="A62:F62"/>
    <mergeCell ref="A61:F61"/>
    <mergeCell ref="B105:C105"/>
    <mergeCell ref="B84:C84"/>
    <mergeCell ref="E82:F82"/>
    <mergeCell ref="E104:F104"/>
    <mergeCell ref="E105:F105"/>
    <mergeCell ref="B107:C107"/>
    <mergeCell ref="D106:F106"/>
  </mergeCells>
  <dataValidations count="1">
    <dataValidation type="list" allowBlank="1" showInputMessage="1" showErrorMessage="1" sqref="C18">
      <formula1>"C25,C30,C35"</formula1>
    </dataValidation>
  </dataValidations>
  <printOptions gridLines="1"/>
  <pageMargins left="0.7874015748031497" right="0.7874015748031497" top="0.7874015748031497" bottom="0.7874015748031497" header="0.5118110236220472" footer="0.5118110236220472"/>
  <pageSetup orientation="portrait" paperSize="9" r:id="rId4"/>
  <headerFooter alignWithMargins="0">
    <oddFooter>&amp;R&amp;P</oddFooter>
  </headerFooter>
  <legacyDrawing r:id="rId3"/>
  <oleObjects>
    <oleObject progId="AutoCAD.Drawing.15" shapeId="1268954" r:id="rId1"/>
    <oleObject progId="AutoCAD.Drawing.15" shapeId="12735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showGridLines="0" workbookViewId="0" topLeftCell="A112">
      <selection activeCell="G10" sqref="G10"/>
    </sheetView>
  </sheetViews>
  <sheetFormatPr defaultColWidth="9.00390625" defaultRowHeight="14.25"/>
  <cols>
    <col min="1" max="1" width="13.375" style="3" customWidth="1"/>
    <col min="2" max="2" width="11.625" style="3" customWidth="1"/>
    <col min="3" max="3" width="20.25390625" style="3" customWidth="1"/>
    <col min="4" max="4" width="11.125" style="3" customWidth="1"/>
    <col min="5" max="5" width="12.75390625" style="3" customWidth="1"/>
    <col min="6" max="6" width="10.625" style="3" customWidth="1"/>
    <col min="7" max="7" width="10.875" style="3" customWidth="1"/>
    <col min="8" max="16384" width="9.00390625" style="3" customWidth="1"/>
  </cols>
  <sheetData>
    <row r="1" spans="1:7" ht="20.25">
      <c r="A1" s="108" t="s">
        <v>389</v>
      </c>
      <c r="B1" s="108"/>
      <c r="C1" s="108"/>
      <c r="D1" s="108"/>
      <c r="E1" s="108"/>
      <c r="F1" s="108"/>
      <c r="G1" s="9"/>
    </row>
    <row r="2" spans="1:7" ht="14.25">
      <c r="A2" s="5" t="s">
        <v>148</v>
      </c>
      <c r="B2" s="101" t="s">
        <v>221</v>
      </c>
      <c r="C2" s="101"/>
      <c r="D2" s="101"/>
      <c r="E2" s="101"/>
      <c r="F2" s="101"/>
      <c r="G2" s="9"/>
    </row>
    <row r="3" spans="1:7" ht="14.25">
      <c r="A3" s="101" t="s">
        <v>5</v>
      </c>
      <c r="B3" s="101"/>
      <c r="C3" s="101"/>
      <c r="D3" s="101"/>
      <c r="E3" s="101"/>
      <c r="F3" s="101"/>
      <c r="G3" s="9"/>
    </row>
    <row r="4" spans="1:7" ht="14.25">
      <c r="A4" s="4" t="s">
        <v>149</v>
      </c>
      <c r="B4" s="21" t="s">
        <v>233</v>
      </c>
      <c r="C4" s="5" t="s">
        <v>109</v>
      </c>
      <c r="D4" s="21">
        <v>1.5</v>
      </c>
      <c r="E4" s="3" t="s">
        <v>150</v>
      </c>
      <c r="G4" s="9"/>
    </row>
    <row r="5" spans="1:7" ht="14.25">
      <c r="A5" s="101" t="s">
        <v>39</v>
      </c>
      <c r="B5" s="101"/>
      <c r="C5" s="101"/>
      <c r="D5" s="101"/>
      <c r="E5" s="101"/>
      <c r="F5" s="101"/>
      <c r="G5" s="9"/>
    </row>
    <row r="6" spans="1:7" ht="14.25">
      <c r="A6" s="100" t="s">
        <v>40</v>
      </c>
      <c r="B6" s="100"/>
      <c r="C6" s="100"/>
      <c r="D6" s="100" t="s">
        <v>41</v>
      </c>
      <c r="E6" s="100"/>
      <c r="F6" s="100"/>
      <c r="G6" s="9"/>
    </row>
    <row r="7" spans="1:7" ht="33">
      <c r="A7" s="17" t="s">
        <v>151</v>
      </c>
      <c r="B7" s="17" t="s">
        <v>121</v>
      </c>
      <c r="C7" s="17" t="s">
        <v>122</v>
      </c>
      <c r="D7" s="17" t="s">
        <v>123</v>
      </c>
      <c r="E7" s="17" t="s">
        <v>124</v>
      </c>
      <c r="F7" s="17" t="s">
        <v>125</v>
      </c>
      <c r="G7" s="9"/>
    </row>
    <row r="8" spans="1:7" ht="14.25">
      <c r="A8" s="21">
        <v>40</v>
      </c>
      <c r="B8" s="21">
        <v>500</v>
      </c>
      <c r="C8" s="21">
        <v>1450</v>
      </c>
      <c r="D8" s="21">
        <v>43</v>
      </c>
      <c r="E8" s="21">
        <v>260</v>
      </c>
      <c r="F8" s="21">
        <v>910</v>
      </c>
      <c r="G8" s="9"/>
    </row>
    <row r="9" spans="1:7" ht="14.25">
      <c r="A9" s="109" t="s">
        <v>152</v>
      </c>
      <c r="B9" s="109"/>
      <c r="C9" s="109"/>
      <c r="D9" s="109"/>
      <c r="E9" s="109"/>
      <c r="F9" s="109"/>
      <c r="G9" s="9"/>
    </row>
    <row r="10" spans="1:7" ht="14.25">
      <c r="A10" s="101" t="s">
        <v>153</v>
      </c>
      <c r="B10" s="101"/>
      <c r="C10" s="101"/>
      <c r="D10" s="101"/>
      <c r="E10" s="101"/>
      <c r="F10" s="101"/>
      <c r="G10" s="9"/>
    </row>
    <row r="11" spans="1:7" ht="16.5">
      <c r="A11" s="4" t="s">
        <v>154</v>
      </c>
      <c r="B11" s="21" t="s">
        <v>155</v>
      </c>
      <c r="C11" s="3" t="s">
        <v>45</v>
      </c>
      <c r="D11" s="21">
        <v>19</v>
      </c>
      <c r="E11" s="3" t="s">
        <v>156</v>
      </c>
      <c r="G11" s="9"/>
    </row>
    <row r="12" spans="1:9" ht="14.25">
      <c r="A12" s="101" t="s">
        <v>157</v>
      </c>
      <c r="B12" s="101"/>
      <c r="C12" s="101"/>
      <c r="D12" s="21">
        <v>2.4</v>
      </c>
      <c r="E12" s="9"/>
      <c r="F12" s="9"/>
      <c r="G12" s="9"/>
      <c r="H12" s="9"/>
      <c r="I12" s="9"/>
    </row>
    <row r="13" spans="1:10" ht="16.5">
      <c r="A13" s="101" t="s">
        <v>158</v>
      </c>
      <c r="B13" s="101"/>
      <c r="C13" s="22">
        <v>150</v>
      </c>
      <c r="D13" s="3" t="s">
        <v>159</v>
      </c>
      <c r="E13" s="106"/>
      <c r="F13" s="106"/>
      <c r="G13" s="9"/>
      <c r="H13" s="9"/>
      <c r="I13" s="9"/>
      <c r="J13" s="9"/>
    </row>
    <row r="14" spans="1:10" ht="18.75">
      <c r="A14" s="3" t="s">
        <v>160</v>
      </c>
      <c r="B14" s="100" t="s">
        <v>161</v>
      </c>
      <c r="C14" s="100"/>
      <c r="D14" s="6">
        <f>1.4*E8/(C13-D11*D12)</f>
        <v>3.486590038314176</v>
      </c>
      <c r="E14" s="3" t="s">
        <v>162</v>
      </c>
      <c r="G14" s="9"/>
      <c r="H14" s="9"/>
      <c r="I14" s="9"/>
      <c r="J14" s="9"/>
    </row>
    <row r="15" spans="1:10" ht="14.25">
      <c r="A15" s="101" t="s">
        <v>163</v>
      </c>
      <c r="B15" s="101"/>
      <c r="C15" s="101"/>
      <c r="D15" s="101"/>
      <c r="E15" s="101"/>
      <c r="F15" s="101"/>
      <c r="G15" s="9"/>
      <c r="H15" s="9"/>
      <c r="I15" s="9"/>
      <c r="J15" s="9"/>
    </row>
    <row r="16" spans="1:7" ht="14.25">
      <c r="A16" s="4"/>
      <c r="B16" s="4"/>
      <c r="C16" s="4"/>
      <c r="D16" s="4"/>
      <c r="E16" s="4"/>
      <c r="F16" s="4"/>
      <c r="G16" s="9"/>
    </row>
    <row r="17" spans="1:7" ht="14.25">
      <c r="A17" s="4"/>
      <c r="B17" s="4"/>
      <c r="C17" s="4"/>
      <c r="D17" s="4"/>
      <c r="E17" s="4"/>
      <c r="F17" s="4"/>
      <c r="G17" s="9"/>
    </row>
    <row r="18" spans="1:7" ht="14.25">
      <c r="A18" s="4"/>
      <c r="B18" s="4"/>
      <c r="C18" s="4"/>
      <c r="D18" s="4"/>
      <c r="E18" s="4"/>
      <c r="F18" s="4"/>
      <c r="G18" s="9"/>
    </row>
    <row r="19" spans="1:7" ht="14.25">
      <c r="A19" s="4"/>
      <c r="B19" s="4"/>
      <c r="C19" s="4"/>
      <c r="D19" s="4"/>
      <c r="E19" s="4"/>
      <c r="F19" s="4"/>
      <c r="G19" s="9"/>
    </row>
    <row r="20" spans="1:7" ht="14.25">
      <c r="A20" s="4"/>
      <c r="B20" s="4"/>
      <c r="C20" s="4"/>
      <c r="D20" s="4"/>
      <c r="E20" s="4"/>
      <c r="F20" s="4"/>
      <c r="G20" s="9"/>
    </row>
    <row r="21" spans="1:7" ht="14.25">
      <c r="A21" s="4"/>
      <c r="B21" s="4"/>
      <c r="C21" s="4"/>
      <c r="D21" s="4"/>
      <c r="E21" s="4"/>
      <c r="F21" s="4"/>
      <c r="G21" s="9"/>
    </row>
    <row r="22" spans="1:7" ht="14.25">
      <c r="A22" s="4"/>
      <c r="B22" s="4"/>
      <c r="C22" s="4"/>
      <c r="D22" s="4"/>
      <c r="E22" s="4"/>
      <c r="F22" s="4"/>
      <c r="G22" s="9"/>
    </row>
    <row r="23" spans="1:7" ht="14.25">
      <c r="A23" s="4"/>
      <c r="B23" s="4"/>
      <c r="C23" s="4"/>
      <c r="D23" s="4"/>
      <c r="E23" s="4"/>
      <c r="F23" s="4"/>
      <c r="G23" s="9"/>
    </row>
    <row r="24" spans="1:7" ht="14.25">
      <c r="A24" s="4"/>
      <c r="B24" s="4"/>
      <c r="C24" s="4"/>
      <c r="D24" s="4"/>
      <c r="E24" s="4"/>
      <c r="F24" s="4"/>
      <c r="G24" s="9"/>
    </row>
    <row r="25" spans="1:7" ht="14.25">
      <c r="A25" s="4"/>
      <c r="B25" s="4"/>
      <c r="C25" s="4"/>
      <c r="D25" s="4"/>
      <c r="E25" s="4"/>
      <c r="F25" s="4"/>
      <c r="G25" s="9"/>
    </row>
    <row r="26" spans="1:7" ht="14.25">
      <c r="A26" s="4"/>
      <c r="B26" s="4"/>
      <c r="C26" s="4"/>
      <c r="D26" s="4"/>
      <c r="E26" s="4"/>
      <c r="F26" s="4"/>
      <c r="G26" s="9"/>
    </row>
    <row r="27" spans="1:7" ht="14.25">
      <c r="A27" s="4"/>
      <c r="B27" s="4"/>
      <c r="C27" s="4"/>
      <c r="D27" s="4"/>
      <c r="E27" s="4"/>
      <c r="F27" s="4"/>
      <c r="G27" s="9"/>
    </row>
    <row r="28" spans="1:7" ht="14.25">
      <c r="A28" s="4"/>
      <c r="B28" s="4"/>
      <c r="C28" s="4"/>
      <c r="D28" s="4"/>
      <c r="E28" s="4"/>
      <c r="F28" s="4"/>
      <c r="G28" s="9"/>
    </row>
    <row r="29" spans="1:6" ht="14.25">
      <c r="A29" s="3" t="s">
        <v>234</v>
      </c>
      <c r="B29" s="23">
        <v>6</v>
      </c>
      <c r="C29" s="3" t="s">
        <v>50</v>
      </c>
      <c r="D29" s="23">
        <v>1.2</v>
      </c>
      <c r="E29" s="3" t="s">
        <v>164</v>
      </c>
      <c r="F29" s="23">
        <v>1.2</v>
      </c>
    </row>
    <row r="30" spans="1:7" ht="14.25">
      <c r="A30" s="3" t="s">
        <v>222</v>
      </c>
      <c r="B30" s="23"/>
      <c r="E30" s="9"/>
      <c r="F30" s="9"/>
      <c r="G30" s="9"/>
    </row>
    <row r="31" spans="1:7" ht="14.25">
      <c r="A31" s="101" t="s">
        <v>165</v>
      </c>
      <c r="B31" s="101"/>
      <c r="C31" s="23" t="s">
        <v>111</v>
      </c>
      <c r="D31" s="106"/>
      <c r="E31" s="106"/>
      <c r="F31" s="106"/>
      <c r="G31" s="9"/>
    </row>
    <row r="32" spans="1:6" ht="14.25">
      <c r="A32" s="101" t="s">
        <v>166</v>
      </c>
      <c r="B32" s="101"/>
      <c r="C32" s="101"/>
      <c r="D32" s="101"/>
      <c r="E32" s="101"/>
      <c r="F32" s="101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  <row r="43" spans="1:6" ht="14.25">
      <c r="A43" s="100"/>
      <c r="B43" s="100"/>
      <c r="C43" s="100"/>
      <c r="D43" s="100"/>
      <c r="E43" s="100"/>
      <c r="F43" s="100"/>
    </row>
    <row r="44" spans="1:6" ht="14.25">
      <c r="A44" s="100"/>
      <c r="B44" s="100"/>
      <c r="C44" s="100"/>
      <c r="D44" s="100"/>
      <c r="E44" s="100"/>
      <c r="F44" s="100"/>
    </row>
    <row r="45" spans="1:6" ht="14.25">
      <c r="A45" s="100"/>
      <c r="B45" s="100"/>
      <c r="C45" s="100"/>
      <c r="D45" s="100"/>
      <c r="E45" s="100"/>
      <c r="F45" s="100"/>
    </row>
    <row r="46" spans="1:6" ht="14.25">
      <c r="A46" s="100"/>
      <c r="B46" s="100"/>
      <c r="C46" s="100"/>
      <c r="D46" s="100"/>
      <c r="E46" s="100"/>
      <c r="F46" s="100"/>
    </row>
    <row r="47" spans="1:7" ht="14.25">
      <c r="A47" s="100"/>
      <c r="B47" s="100"/>
      <c r="C47" s="100"/>
      <c r="D47" s="100"/>
      <c r="E47" s="100"/>
      <c r="F47" s="100"/>
      <c r="G47" s="9"/>
    </row>
    <row r="48" spans="1:6" ht="14.25">
      <c r="A48" s="101" t="s">
        <v>167</v>
      </c>
      <c r="B48" s="101"/>
      <c r="C48" s="101"/>
      <c r="D48" s="101"/>
      <c r="E48" s="101"/>
      <c r="F48" s="101"/>
    </row>
    <row r="49" spans="1:6" ht="14.25">
      <c r="A49" s="101" t="s">
        <v>168</v>
      </c>
      <c r="B49" s="101"/>
      <c r="C49" s="101"/>
      <c r="D49" s="101"/>
      <c r="E49" s="101"/>
      <c r="F49" s="101"/>
    </row>
    <row r="50" spans="1:6" ht="18.75">
      <c r="A50" s="100" t="s">
        <v>235</v>
      </c>
      <c r="B50" s="100"/>
      <c r="C50" s="100"/>
      <c r="D50" s="100"/>
      <c r="E50" s="7">
        <f>C13+E51*D11*(B29-3)+E52*E53*(D12-0.5)</f>
        <v>221.82</v>
      </c>
      <c r="F50" s="3" t="s">
        <v>169</v>
      </c>
    </row>
    <row r="51" spans="1:5" ht="18.75">
      <c r="A51" s="3" t="s">
        <v>170</v>
      </c>
      <c r="B51" s="101" t="s">
        <v>171</v>
      </c>
      <c r="C51" s="101"/>
      <c r="D51" s="101"/>
      <c r="E51" s="24">
        <v>0.3</v>
      </c>
    </row>
    <row r="52" spans="2:5" ht="18.75">
      <c r="B52" s="101" t="s">
        <v>172</v>
      </c>
      <c r="C52" s="101"/>
      <c r="D52" s="101"/>
      <c r="E52" s="24">
        <v>1.6</v>
      </c>
    </row>
    <row r="53" spans="2:6" ht="18.75">
      <c r="B53" s="101" t="s">
        <v>173</v>
      </c>
      <c r="C53" s="101"/>
      <c r="D53" s="101"/>
      <c r="E53" s="24">
        <v>18</v>
      </c>
      <c r="F53" s="3" t="s">
        <v>174</v>
      </c>
    </row>
    <row r="54" spans="1:6" ht="14.25">
      <c r="A54" s="101" t="s">
        <v>175</v>
      </c>
      <c r="B54" s="101"/>
      <c r="C54" s="101"/>
      <c r="D54" s="101"/>
      <c r="E54" s="101"/>
      <c r="F54" s="101"/>
    </row>
    <row r="55" spans="1:6" ht="14.25">
      <c r="A55" s="101" t="s">
        <v>176</v>
      </c>
      <c r="B55" s="101"/>
      <c r="C55" s="101"/>
      <c r="D55" s="101"/>
      <c r="E55" s="101"/>
      <c r="F55" s="101"/>
    </row>
    <row r="56" spans="1:6" ht="16.5">
      <c r="A56" s="101" t="s">
        <v>223</v>
      </c>
      <c r="B56" s="101"/>
      <c r="C56" s="7">
        <f>D29*(2*B29-D29)</f>
        <v>12.96</v>
      </c>
      <c r="D56" s="3" t="s">
        <v>177</v>
      </c>
      <c r="E56" s="100"/>
      <c r="F56" s="100"/>
    </row>
    <row r="57" spans="1:6" ht="14.25">
      <c r="A57" s="101" t="s">
        <v>178</v>
      </c>
      <c r="B57" s="101"/>
      <c r="C57" s="101"/>
      <c r="D57" s="101"/>
      <c r="E57" s="101"/>
      <c r="F57" s="101"/>
    </row>
    <row r="58" spans="1:6" ht="14.25">
      <c r="A58" s="101" t="s">
        <v>179</v>
      </c>
      <c r="B58" s="101"/>
      <c r="C58" s="101"/>
      <c r="D58" s="101"/>
      <c r="E58" s="101"/>
      <c r="F58" s="101"/>
    </row>
    <row r="59" spans="1:5" ht="18.75">
      <c r="A59" s="3" t="s">
        <v>180</v>
      </c>
      <c r="B59" s="101" t="s">
        <v>228</v>
      </c>
      <c r="C59" s="101"/>
      <c r="D59" s="7">
        <f>25*D29*(2*B29-D29)*F29</f>
        <v>388.8</v>
      </c>
      <c r="E59" s="3" t="s">
        <v>104</v>
      </c>
    </row>
    <row r="60" spans="1:5" ht="18.75">
      <c r="A60" s="3" t="s">
        <v>181</v>
      </c>
      <c r="B60" s="101" t="s">
        <v>224</v>
      </c>
      <c r="C60" s="101"/>
      <c r="D60" s="7">
        <f>B30</f>
        <v>0</v>
      </c>
      <c r="E60" s="3" t="s">
        <v>104</v>
      </c>
    </row>
    <row r="61" spans="1:5" ht="18.75">
      <c r="A61" s="3" t="s">
        <v>182</v>
      </c>
      <c r="B61" s="101" t="s">
        <v>225</v>
      </c>
      <c r="C61" s="101"/>
      <c r="D61" s="7">
        <f>D59+E8+D60</f>
        <v>648.8</v>
      </c>
      <c r="E61" s="3" t="s">
        <v>104</v>
      </c>
    </row>
    <row r="62" spans="1:10" ht="18.75">
      <c r="A62" s="3" t="s">
        <v>183</v>
      </c>
      <c r="B62" s="101" t="s">
        <v>229</v>
      </c>
      <c r="C62" s="101"/>
      <c r="D62" s="7">
        <f>F8+D8*F29</f>
        <v>961.6</v>
      </c>
      <c r="E62" s="3" t="s">
        <v>105</v>
      </c>
      <c r="J62" s="1"/>
    </row>
    <row r="63" spans="1:5" ht="18.75">
      <c r="A63" s="3" t="s">
        <v>184</v>
      </c>
      <c r="B63" s="101" t="s">
        <v>230</v>
      </c>
      <c r="C63" s="101"/>
      <c r="D63" s="7">
        <f>D62/D61</f>
        <v>1.4821208384710236</v>
      </c>
      <c r="E63" s="3" t="s">
        <v>185</v>
      </c>
    </row>
    <row r="64" spans="2:6" ht="14.25">
      <c r="B64" s="5" t="s">
        <v>186</v>
      </c>
      <c r="C64" s="18" t="s">
        <v>187</v>
      </c>
      <c r="D64" s="6" t="s">
        <v>226</v>
      </c>
      <c r="E64" s="7">
        <f>B29/3</f>
        <v>2</v>
      </c>
      <c r="F64" s="3" t="s">
        <v>1</v>
      </c>
    </row>
    <row r="65" spans="2:6" ht="14.25">
      <c r="B65" s="5" t="s">
        <v>6</v>
      </c>
      <c r="C65" s="19" t="s">
        <v>64</v>
      </c>
      <c r="D65" s="6" t="s">
        <v>227</v>
      </c>
      <c r="E65" s="7">
        <f>B29/6</f>
        <v>1</v>
      </c>
      <c r="F65" s="3" t="s">
        <v>1</v>
      </c>
    </row>
    <row r="66" spans="1:6" ht="14.25">
      <c r="A66" s="101" t="s">
        <v>188</v>
      </c>
      <c r="B66" s="101"/>
      <c r="C66" s="101"/>
      <c r="D66" s="101"/>
      <c r="E66" s="101"/>
      <c r="F66" s="101"/>
    </row>
    <row r="67" spans="2:6" ht="14.25">
      <c r="B67" s="3" t="s">
        <v>231</v>
      </c>
      <c r="C67" s="6">
        <f>B29/2-D63</f>
        <v>1.5178791615289764</v>
      </c>
      <c r="D67" s="3" t="s">
        <v>189</v>
      </c>
      <c r="E67" s="100"/>
      <c r="F67" s="100"/>
    </row>
    <row r="68" spans="1:6" ht="16.5">
      <c r="A68" s="101" t="s">
        <v>190</v>
      </c>
      <c r="B68" s="101"/>
      <c r="C68" s="101"/>
      <c r="D68" s="101"/>
      <c r="E68" s="101"/>
      <c r="F68" s="101"/>
    </row>
    <row r="69" spans="1:7" ht="18.75">
      <c r="A69" s="100" t="s">
        <v>232</v>
      </c>
      <c r="B69" s="100"/>
      <c r="C69" s="100"/>
      <c r="D69" s="7">
        <f>2*D61/(3*C67*D29)</f>
        <v>237.4658362668111</v>
      </c>
      <c r="E69" s="10" t="s">
        <v>191</v>
      </c>
      <c r="G69" s="10"/>
    </row>
    <row r="70" spans="1:7" ht="18.75">
      <c r="A70" s="4"/>
      <c r="B70" s="5" t="s">
        <v>192</v>
      </c>
      <c r="C70" s="19" t="s">
        <v>193</v>
      </c>
      <c r="D70" s="3" t="s">
        <v>194</v>
      </c>
      <c r="E70" s="7">
        <f>E50*1.2</f>
        <v>266.18399999999997</v>
      </c>
      <c r="F70" s="10" t="s">
        <v>195</v>
      </c>
      <c r="G70" s="10"/>
    </row>
    <row r="71" spans="1:7" ht="18.75">
      <c r="A71" s="101" t="s">
        <v>137</v>
      </c>
      <c r="B71" s="101"/>
      <c r="C71" s="101"/>
      <c r="D71" s="101"/>
      <c r="E71" s="101"/>
      <c r="F71" s="101"/>
      <c r="G71" s="10"/>
    </row>
    <row r="72" spans="1:7" ht="18.75">
      <c r="A72" s="4"/>
      <c r="B72" s="7" t="s">
        <v>136</v>
      </c>
      <c r="C72" s="12">
        <f>D69/2</f>
        <v>118.73291813340555</v>
      </c>
      <c r="D72" s="10" t="s">
        <v>159</v>
      </c>
      <c r="E72" s="19" t="s">
        <v>196</v>
      </c>
      <c r="F72" s="3" t="s">
        <v>197</v>
      </c>
      <c r="G72" s="10"/>
    </row>
    <row r="73" spans="1:7" ht="14.25">
      <c r="A73" s="100"/>
      <c r="B73" s="100"/>
      <c r="C73" s="100"/>
      <c r="D73" s="100"/>
      <c r="E73" s="100"/>
      <c r="F73" s="100"/>
      <c r="G73" s="10"/>
    </row>
    <row r="74" spans="1:6" ht="14.25">
      <c r="A74" s="101" t="s">
        <v>127</v>
      </c>
      <c r="B74" s="101"/>
      <c r="C74" s="101"/>
      <c r="D74" s="101"/>
      <c r="E74" s="101"/>
      <c r="F74" s="101"/>
    </row>
    <row r="75" spans="1:6" ht="14.25">
      <c r="A75" s="101" t="s">
        <v>8</v>
      </c>
      <c r="B75" s="101"/>
      <c r="C75" s="101"/>
      <c r="D75" s="101"/>
      <c r="E75" s="101"/>
      <c r="F75" s="101"/>
    </row>
    <row r="76" spans="1:6" ht="14.25">
      <c r="A76" s="101" t="s">
        <v>9</v>
      </c>
      <c r="B76" s="101"/>
      <c r="C76" s="101"/>
      <c r="D76" s="101"/>
      <c r="E76" s="101"/>
      <c r="F76" s="101"/>
    </row>
    <row r="77" spans="1:6" ht="15.75" customHeight="1">
      <c r="A77" s="100"/>
      <c r="B77" s="100"/>
      <c r="C77" s="100"/>
      <c r="D77" s="100"/>
      <c r="E77" s="100"/>
      <c r="F77" s="100"/>
    </row>
    <row r="78" spans="1:6" ht="15.75" customHeight="1">
      <c r="A78" s="100"/>
      <c r="B78" s="100"/>
      <c r="C78" s="100"/>
      <c r="D78" s="100"/>
      <c r="E78" s="100"/>
      <c r="F78" s="100"/>
    </row>
    <row r="79" spans="1:6" ht="15.75" customHeight="1">
      <c r="A79" s="100"/>
      <c r="B79" s="100"/>
      <c r="C79" s="100"/>
      <c r="D79" s="100"/>
      <c r="E79" s="100"/>
      <c r="F79" s="100"/>
    </row>
    <row r="80" spans="1:6" ht="15.75" customHeight="1">
      <c r="A80" s="100"/>
      <c r="B80" s="100"/>
      <c r="C80" s="100"/>
      <c r="D80" s="100"/>
      <c r="E80" s="100"/>
      <c r="F80" s="100"/>
    </row>
    <row r="81" spans="1:6" ht="15.75" customHeight="1">
      <c r="A81" s="100"/>
      <c r="B81" s="100"/>
      <c r="C81" s="100"/>
      <c r="D81" s="100"/>
      <c r="E81" s="100"/>
      <c r="F81" s="100"/>
    </row>
    <row r="82" spans="1:6" ht="15.75" customHeight="1">
      <c r="A82" s="100"/>
      <c r="B82" s="100"/>
      <c r="C82" s="100"/>
      <c r="D82" s="100"/>
      <c r="E82" s="100"/>
      <c r="F82" s="100"/>
    </row>
    <row r="83" spans="1:6" ht="15.75" customHeight="1">
      <c r="A83" s="100"/>
      <c r="B83" s="100"/>
      <c r="C83" s="100"/>
      <c r="D83" s="100"/>
      <c r="E83" s="100"/>
      <c r="F83" s="100"/>
    </row>
    <row r="84" spans="1:6" ht="15.75" customHeight="1">
      <c r="A84" s="100"/>
      <c r="B84" s="100"/>
      <c r="C84" s="100"/>
      <c r="D84" s="100"/>
      <c r="E84" s="100"/>
      <c r="F84" s="100"/>
    </row>
    <row r="85" spans="1:6" ht="15.75" customHeight="1">
      <c r="A85" s="100"/>
      <c r="B85" s="100"/>
      <c r="C85" s="100"/>
      <c r="D85" s="100"/>
      <c r="E85" s="100"/>
      <c r="F85" s="100"/>
    </row>
    <row r="86" spans="1:6" ht="15.75" customHeight="1">
      <c r="A86" s="100"/>
      <c r="B86" s="100"/>
      <c r="C86" s="100"/>
      <c r="D86" s="100"/>
      <c r="E86" s="100"/>
      <c r="F86" s="100"/>
    </row>
    <row r="87" spans="1:6" ht="15.75" customHeight="1">
      <c r="A87" s="100"/>
      <c r="B87" s="100"/>
      <c r="C87" s="100"/>
      <c r="D87" s="100"/>
      <c r="E87" s="100"/>
      <c r="F87" s="100"/>
    </row>
    <row r="88" spans="1:6" ht="15.75" customHeight="1">
      <c r="A88" s="100"/>
      <c r="B88" s="100"/>
      <c r="C88" s="100"/>
      <c r="D88" s="100"/>
      <c r="E88" s="100"/>
      <c r="F88" s="100"/>
    </row>
    <row r="89" spans="1:6" ht="15.75" customHeight="1">
      <c r="A89" s="100"/>
      <c r="B89" s="100"/>
      <c r="C89" s="100"/>
      <c r="D89" s="100"/>
      <c r="E89" s="100"/>
      <c r="F89" s="100"/>
    </row>
    <row r="90" spans="1:6" ht="15.75" customHeight="1">
      <c r="A90" s="100"/>
      <c r="B90" s="100"/>
      <c r="C90" s="100"/>
      <c r="D90" s="100"/>
      <c r="E90" s="100"/>
      <c r="F90" s="100"/>
    </row>
    <row r="91" spans="1:5" ht="18.75">
      <c r="A91" s="101" t="s">
        <v>198</v>
      </c>
      <c r="B91" s="101"/>
      <c r="C91" s="101"/>
      <c r="D91" s="16">
        <f>0.7*E92*E93*D29*D94*1000</f>
        <v>1196238.4</v>
      </c>
      <c r="E91" s="3" t="s">
        <v>199</v>
      </c>
    </row>
    <row r="92" spans="1:5" ht="18.75">
      <c r="A92" s="3" t="s">
        <v>200</v>
      </c>
      <c r="B92" s="101" t="s">
        <v>201</v>
      </c>
      <c r="C92" s="101"/>
      <c r="D92" s="101"/>
      <c r="E92" s="7">
        <f>IF(F29&lt;0.8,1,IF(F29&gt;2,0.9,1-(F29-0.8)*0.1/1.2))</f>
        <v>0.9666666666666667</v>
      </c>
    </row>
    <row r="93" spans="2:6" ht="18.75">
      <c r="B93" s="101" t="s">
        <v>202</v>
      </c>
      <c r="C93" s="101"/>
      <c r="D93" s="101"/>
      <c r="E93" s="25">
        <v>1.27</v>
      </c>
      <c r="F93" s="3" t="s">
        <v>203</v>
      </c>
    </row>
    <row r="94" spans="2:5" ht="18.75">
      <c r="B94" s="101" t="s">
        <v>129</v>
      </c>
      <c r="C94" s="101"/>
      <c r="D94" s="3">
        <f>F29*1000-E95</f>
        <v>1160</v>
      </c>
      <c r="E94" s="3" t="s">
        <v>204</v>
      </c>
    </row>
    <row r="95" spans="2:6" ht="18.75">
      <c r="B95" s="101" t="s">
        <v>81</v>
      </c>
      <c r="C95" s="101"/>
      <c r="D95" s="101"/>
      <c r="E95" s="3">
        <v>40</v>
      </c>
      <c r="F95" s="3" t="s">
        <v>205</v>
      </c>
    </row>
    <row r="96" spans="1:5" ht="18.75">
      <c r="A96" s="27" t="s">
        <v>239</v>
      </c>
      <c r="B96" s="27"/>
      <c r="D96" s="13">
        <f>(D69-(D59+D60)/C56)*E99/1000</f>
        <v>194063.54324397512</v>
      </c>
      <c r="E96" s="3" t="s">
        <v>206</v>
      </c>
    </row>
    <row r="97" spans="1:6" ht="15.75" customHeight="1">
      <c r="A97" s="3" t="s">
        <v>207</v>
      </c>
      <c r="B97" s="101" t="s">
        <v>7</v>
      </c>
      <c r="C97" s="101"/>
      <c r="D97" s="101"/>
      <c r="E97" s="101"/>
      <c r="F97" s="101"/>
    </row>
    <row r="98" spans="2:6" ht="15.75" customHeight="1">
      <c r="B98" s="4" t="s">
        <v>108</v>
      </c>
      <c r="C98" s="21">
        <v>1.5</v>
      </c>
      <c r="D98" s="3" t="s">
        <v>1</v>
      </c>
      <c r="E98" s="102"/>
      <c r="F98" s="102"/>
    </row>
    <row r="99" spans="2:6" ht="18.75">
      <c r="B99" s="100" t="s">
        <v>238</v>
      </c>
      <c r="C99" s="100"/>
      <c r="D99" s="100"/>
      <c r="E99" s="3">
        <f>(B29*1000/2-C98*1000*0.707-D94)*(D29*1000)</f>
        <v>935400</v>
      </c>
      <c r="F99" s="3" t="s">
        <v>208</v>
      </c>
    </row>
    <row r="100" spans="1:2" ht="18.75">
      <c r="A100" s="21" t="s">
        <v>209</v>
      </c>
      <c r="B100" s="3" t="s">
        <v>69</v>
      </c>
    </row>
    <row r="101" spans="1:6" ht="14.25">
      <c r="A101" s="110"/>
      <c r="B101" s="110"/>
      <c r="C101" s="110"/>
      <c r="D101" s="110"/>
      <c r="E101" s="110"/>
      <c r="F101" s="110"/>
    </row>
    <row r="102" spans="1:8" ht="14.25">
      <c r="A102" s="101" t="s">
        <v>130</v>
      </c>
      <c r="B102" s="101"/>
      <c r="C102" s="101"/>
      <c r="D102" s="101"/>
      <c r="E102" s="101"/>
      <c r="F102" s="101"/>
      <c r="G102" s="7"/>
      <c r="H102" s="10"/>
    </row>
    <row r="103" spans="1:8" ht="14.25">
      <c r="A103" s="100" t="s">
        <v>210</v>
      </c>
      <c r="B103" s="100"/>
      <c r="C103" s="100"/>
      <c r="D103" s="100"/>
      <c r="E103" s="100"/>
      <c r="F103" s="100"/>
      <c r="G103" s="7"/>
      <c r="H103" s="10"/>
    </row>
    <row r="104" spans="1:8" ht="14.25">
      <c r="A104" s="100"/>
      <c r="B104" s="100"/>
      <c r="C104" s="100"/>
      <c r="D104" s="100"/>
      <c r="E104" s="100"/>
      <c r="F104" s="100"/>
      <c r="G104" s="7"/>
      <c r="H104" s="10"/>
    </row>
    <row r="105" spans="1:6" ht="14.25">
      <c r="A105" s="101" t="s">
        <v>211</v>
      </c>
      <c r="B105" s="101"/>
      <c r="C105" s="101"/>
      <c r="D105" s="101"/>
      <c r="E105" s="101"/>
      <c r="F105" s="101"/>
    </row>
    <row r="106" spans="1:6" ht="13.5" customHeight="1">
      <c r="A106" s="101"/>
      <c r="B106" s="101"/>
      <c r="C106" s="101"/>
      <c r="D106" s="101"/>
      <c r="E106" s="101"/>
      <c r="F106" s="101"/>
    </row>
    <row r="107" spans="1:6" ht="15" customHeight="1">
      <c r="A107" s="4"/>
      <c r="B107" s="4"/>
      <c r="C107" s="4"/>
      <c r="D107" s="4"/>
      <c r="E107" s="4"/>
      <c r="F107" s="4"/>
    </row>
    <row r="108" spans="1:6" ht="15" customHeight="1">
      <c r="A108" s="4"/>
      <c r="B108" s="4"/>
      <c r="C108" s="4"/>
      <c r="D108" s="4"/>
      <c r="E108" s="4"/>
      <c r="F108" s="4"/>
    </row>
    <row r="109" spans="1:6" ht="15" customHeight="1">
      <c r="A109" s="4"/>
      <c r="B109" s="4"/>
      <c r="C109" s="4"/>
      <c r="D109" s="4"/>
      <c r="E109" s="4"/>
      <c r="F109" s="4"/>
    </row>
    <row r="110" spans="1:6" ht="15" customHeight="1">
      <c r="A110" s="4"/>
      <c r="B110" s="4"/>
      <c r="C110" s="4"/>
      <c r="D110" s="4"/>
      <c r="E110" s="4"/>
      <c r="F110" s="4"/>
    </row>
    <row r="111" spans="1:6" ht="15" customHeight="1">
      <c r="A111" s="4"/>
      <c r="B111" s="4"/>
      <c r="C111" s="4"/>
      <c r="D111" s="4"/>
      <c r="E111" s="4"/>
      <c r="F111" s="4"/>
    </row>
    <row r="112" spans="1:6" ht="15" customHeight="1">
      <c r="A112" s="4"/>
      <c r="B112" s="4"/>
      <c r="C112" s="4"/>
      <c r="D112" s="4"/>
      <c r="E112" s="4"/>
      <c r="F112" s="4"/>
    </row>
    <row r="113" spans="1:6" ht="15" customHeight="1">
      <c r="A113" s="4"/>
      <c r="B113" s="4"/>
      <c r="C113" s="4"/>
      <c r="D113" s="4"/>
      <c r="E113" s="4"/>
      <c r="F113" s="4"/>
    </row>
    <row r="114" spans="1:6" ht="15" customHeight="1">
      <c r="A114" s="4"/>
      <c r="B114" s="4"/>
      <c r="C114" s="4"/>
      <c r="D114" s="4"/>
      <c r="E114" s="4"/>
      <c r="F114" s="4"/>
    </row>
    <row r="115" spans="1:6" ht="15" customHeight="1">
      <c r="A115" s="4"/>
      <c r="B115" s="4"/>
      <c r="C115" s="4"/>
      <c r="D115" s="4"/>
      <c r="E115" s="4"/>
      <c r="F115" s="4"/>
    </row>
    <row r="116" spans="1:6" ht="15" customHeight="1">
      <c r="A116" s="4"/>
      <c r="B116" s="4"/>
      <c r="C116" s="4"/>
      <c r="D116" s="4"/>
      <c r="E116" s="4"/>
      <c r="F116" s="4"/>
    </row>
    <row r="117" spans="1:6" ht="15" customHeight="1">
      <c r="A117" s="4"/>
      <c r="B117" s="4"/>
      <c r="C117" s="4"/>
      <c r="D117" s="4"/>
      <c r="E117" s="4"/>
      <c r="F117" s="4"/>
    </row>
    <row r="118" spans="1:6" ht="15" customHeight="1">
      <c r="A118" s="4"/>
      <c r="B118" s="4"/>
      <c r="C118" s="4"/>
      <c r="D118" s="4"/>
      <c r="E118" s="4"/>
      <c r="F118" s="4"/>
    </row>
    <row r="119" spans="1:6" ht="15" customHeight="1">
      <c r="A119" s="4"/>
      <c r="B119" s="4"/>
      <c r="C119" s="4"/>
      <c r="D119" s="4"/>
      <c r="E119" s="4"/>
      <c r="F119" s="4"/>
    </row>
    <row r="120" spans="1:6" ht="15" customHeight="1">
      <c r="A120" s="4"/>
      <c r="B120" s="4"/>
      <c r="C120" s="4"/>
      <c r="D120" s="4"/>
      <c r="E120" s="4"/>
      <c r="F120" s="4"/>
    </row>
    <row r="121" spans="1:6" ht="15" customHeight="1">
      <c r="A121" s="4"/>
      <c r="B121" s="4"/>
      <c r="C121" s="4"/>
      <c r="D121" s="4"/>
      <c r="E121" s="4"/>
      <c r="F121" s="4"/>
    </row>
    <row r="122" spans="1:6" ht="15" customHeight="1">
      <c r="A122" s="4"/>
      <c r="B122" s="4"/>
      <c r="C122" s="4"/>
      <c r="D122" s="4"/>
      <c r="E122" s="4"/>
      <c r="F122" s="4"/>
    </row>
    <row r="123" spans="1:6" ht="15" customHeight="1">
      <c r="A123" s="4"/>
      <c r="B123" s="4"/>
      <c r="C123" s="4"/>
      <c r="D123" s="4"/>
      <c r="E123" s="4"/>
      <c r="F123" s="4"/>
    </row>
    <row r="124" spans="1:6" ht="15" customHeight="1">
      <c r="A124" s="4"/>
      <c r="B124" s="4"/>
      <c r="C124" s="4"/>
      <c r="D124" s="4"/>
      <c r="E124" s="4"/>
      <c r="F124" s="4"/>
    </row>
    <row r="125" spans="1:6" ht="15" customHeight="1">
      <c r="A125" s="4"/>
      <c r="B125" s="4"/>
      <c r="C125" s="4"/>
      <c r="D125" s="4"/>
      <c r="E125" s="4"/>
      <c r="F125" s="4"/>
    </row>
    <row r="126" spans="1:6" ht="15" customHeight="1">
      <c r="A126" s="4"/>
      <c r="B126" s="4"/>
      <c r="C126" s="4"/>
      <c r="D126" s="4"/>
      <c r="E126" s="4"/>
      <c r="F126" s="4"/>
    </row>
    <row r="127" spans="1:6" ht="16.5">
      <c r="A127" s="111" t="s">
        <v>240</v>
      </c>
      <c r="B127" s="101"/>
      <c r="C127" s="101"/>
      <c r="D127" s="12">
        <f>(3*C67-(B29/2-D29/2))/(3*C67)*D69</f>
        <v>112.30918755039595</v>
      </c>
      <c r="E127" s="10" t="s">
        <v>159</v>
      </c>
      <c r="F127" s="4"/>
    </row>
    <row r="128" spans="1:6" ht="16.5">
      <c r="A128" s="27" t="s">
        <v>241</v>
      </c>
      <c r="B128" s="27"/>
      <c r="C128" s="27"/>
      <c r="D128" s="7"/>
      <c r="E128" s="10">
        <f>(D69-D127)*D29/3*POWER((B29/2-D29/2),2)+(D127-(D59+D60)/C56)*D29/2*POWER((B29/2-D29/2),2)</f>
        <v>572.8214708167889</v>
      </c>
      <c r="F128" s="3" t="s">
        <v>105</v>
      </c>
    </row>
    <row r="129" spans="1:6" ht="18.75">
      <c r="A129" s="101" t="s">
        <v>144</v>
      </c>
      <c r="B129" s="101"/>
      <c r="C129" s="13">
        <f>E128*1000*1000/(0.9*C131*D94)</f>
        <v>1828.9318991596067</v>
      </c>
      <c r="D129" s="3" t="s">
        <v>212</v>
      </c>
      <c r="E129" s="100"/>
      <c r="F129" s="100"/>
    </row>
    <row r="130" spans="1:6" ht="18.75">
      <c r="A130" s="3" t="s">
        <v>53</v>
      </c>
      <c r="B130" s="101" t="s">
        <v>106</v>
      </c>
      <c r="C130" s="101"/>
      <c r="D130" s="101"/>
      <c r="E130" s="101"/>
      <c r="F130" s="101"/>
    </row>
    <row r="131" spans="2:6" ht="18.75">
      <c r="B131" s="11" t="s">
        <v>213</v>
      </c>
      <c r="C131" s="26">
        <v>300</v>
      </c>
      <c r="D131" s="3" t="s">
        <v>214</v>
      </c>
      <c r="E131" s="103"/>
      <c r="F131" s="103"/>
    </row>
    <row r="132" spans="1:6" ht="18.75">
      <c r="A132" s="3" t="s">
        <v>215</v>
      </c>
      <c r="B132" s="4" t="s">
        <v>216</v>
      </c>
      <c r="C132" s="20">
        <f>D133*D29*1000*F29*1000</f>
        <v>2160</v>
      </c>
      <c r="D132" s="3" t="s">
        <v>217</v>
      </c>
      <c r="E132" s="103"/>
      <c r="F132" s="103"/>
    </row>
    <row r="133" spans="1:6" ht="14.25">
      <c r="A133" s="3" t="s">
        <v>53</v>
      </c>
      <c r="B133" s="101" t="s">
        <v>88</v>
      </c>
      <c r="C133" s="101"/>
      <c r="D133" s="11">
        <v>0.0015</v>
      </c>
      <c r="E133" s="103"/>
      <c r="F133" s="103"/>
    </row>
    <row r="134" spans="1:6" ht="14.25">
      <c r="A134" s="3" t="s">
        <v>218</v>
      </c>
      <c r="B134" s="92" t="s">
        <v>242</v>
      </c>
      <c r="C134" s="92"/>
      <c r="D134" s="100"/>
      <c r="E134" s="100"/>
      <c r="F134" s="100"/>
    </row>
    <row r="135" spans="2:6" ht="18.75">
      <c r="B135" s="101" t="s">
        <v>145</v>
      </c>
      <c r="C135" s="101"/>
      <c r="D135" s="21">
        <v>2280</v>
      </c>
      <c r="E135" s="3" t="s">
        <v>219</v>
      </c>
      <c r="F135" s="5" t="s">
        <v>220</v>
      </c>
    </row>
    <row r="136" spans="1:6" ht="14.25">
      <c r="A136" s="100"/>
      <c r="B136" s="100"/>
      <c r="C136" s="100"/>
      <c r="D136" s="100"/>
      <c r="E136" s="100"/>
      <c r="F136" s="100"/>
    </row>
  </sheetData>
  <sheetProtection/>
  <mergeCells count="71">
    <mergeCell ref="A136:F136"/>
    <mergeCell ref="A74:F74"/>
    <mergeCell ref="A73:F73"/>
    <mergeCell ref="B133:C133"/>
    <mergeCell ref="E132:F132"/>
    <mergeCell ref="E133:F133"/>
    <mergeCell ref="B135:C135"/>
    <mergeCell ref="D134:F134"/>
    <mergeCell ref="A127:C127"/>
    <mergeCell ref="B134:C134"/>
    <mergeCell ref="A50:D50"/>
    <mergeCell ref="A54:F54"/>
    <mergeCell ref="A55:F55"/>
    <mergeCell ref="A56:B56"/>
    <mergeCell ref="B52:D52"/>
    <mergeCell ref="B51:D51"/>
    <mergeCell ref="E56:F56"/>
    <mergeCell ref="A15:F15"/>
    <mergeCell ref="A31:B31"/>
    <mergeCell ref="D31:F31"/>
    <mergeCell ref="A48:F48"/>
    <mergeCell ref="A32:F32"/>
    <mergeCell ref="A47:F47"/>
    <mergeCell ref="A33:F46"/>
    <mergeCell ref="A49:F49"/>
    <mergeCell ref="A57:F57"/>
    <mergeCell ref="A104:F104"/>
    <mergeCell ref="A103:F103"/>
    <mergeCell ref="A71:F71"/>
    <mergeCell ref="A66:F66"/>
    <mergeCell ref="A91:C91"/>
    <mergeCell ref="B53:D53"/>
    <mergeCell ref="B59:C59"/>
    <mergeCell ref="A102:F102"/>
    <mergeCell ref="B60:C60"/>
    <mergeCell ref="A76:F76"/>
    <mergeCell ref="E67:F67"/>
    <mergeCell ref="A68:F68"/>
    <mergeCell ref="A69:C69"/>
    <mergeCell ref="B62:C62"/>
    <mergeCell ref="B61:C61"/>
    <mergeCell ref="E131:F131"/>
    <mergeCell ref="A1:F1"/>
    <mergeCell ref="A6:C6"/>
    <mergeCell ref="D6:F6"/>
    <mergeCell ref="A9:F9"/>
    <mergeCell ref="B2:F2"/>
    <mergeCell ref="B94:C94"/>
    <mergeCell ref="E98:F98"/>
    <mergeCell ref="B14:C14"/>
    <mergeCell ref="B63:C63"/>
    <mergeCell ref="B93:D93"/>
    <mergeCell ref="B97:F97"/>
    <mergeCell ref="E129:F129"/>
    <mergeCell ref="A3:F3"/>
    <mergeCell ref="A5:F5"/>
    <mergeCell ref="A12:C12"/>
    <mergeCell ref="E13:F13"/>
    <mergeCell ref="A10:F10"/>
    <mergeCell ref="A13:B13"/>
    <mergeCell ref="A58:F58"/>
    <mergeCell ref="A105:F105"/>
    <mergeCell ref="A75:F75"/>
    <mergeCell ref="A77:F90"/>
    <mergeCell ref="B130:F130"/>
    <mergeCell ref="B92:D92"/>
    <mergeCell ref="A106:F106"/>
    <mergeCell ref="A129:B129"/>
    <mergeCell ref="B95:D95"/>
    <mergeCell ref="B99:D99"/>
    <mergeCell ref="A101:F101"/>
  </mergeCells>
  <dataValidations count="1">
    <dataValidation type="list" allowBlank="1" showInputMessage="1" showErrorMessage="1" sqref="C31">
      <formula1>"C25,C30,C35"</formula1>
    </dataValidation>
  </dataValidations>
  <printOptions gridLines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showGridLines="0" zoomScale="85" zoomScaleNormal="85" workbookViewId="0" topLeftCell="A1">
      <selection activeCell="C121" sqref="C121"/>
    </sheetView>
  </sheetViews>
  <sheetFormatPr defaultColWidth="9.00390625" defaultRowHeight="14.25"/>
  <cols>
    <col min="1" max="1" width="14.625" style="3" customWidth="1"/>
    <col min="2" max="2" width="15.00390625" style="3" customWidth="1"/>
    <col min="3" max="3" width="19.875" style="3" customWidth="1"/>
    <col min="4" max="4" width="12.375" style="3" customWidth="1"/>
    <col min="5" max="5" width="10.25390625" style="3" customWidth="1"/>
    <col min="6" max="6" width="10.625" style="3" customWidth="1"/>
    <col min="7" max="7" width="10.875" style="3" customWidth="1"/>
    <col min="8" max="16384" width="9.00390625" style="3" customWidth="1"/>
  </cols>
  <sheetData>
    <row r="1" spans="1:7" ht="20.25">
      <c r="A1" s="108" t="s">
        <v>388</v>
      </c>
      <c r="B1" s="108"/>
      <c r="C1" s="108"/>
      <c r="D1" s="108"/>
      <c r="E1" s="108"/>
      <c r="F1" s="108"/>
      <c r="G1" s="9"/>
    </row>
    <row r="2" spans="1:7" ht="14.25">
      <c r="A2" s="5" t="s">
        <v>148</v>
      </c>
      <c r="B2" s="101" t="s">
        <v>259</v>
      </c>
      <c r="C2" s="101"/>
      <c r="D2" s="101"/>
      <c r="E2" s="101"/>
      <c r="F2" s="101"/>
      <c r="G2" s="9"/>
    </row>
    <row r="3" spans="1:7" ht="14.25">
      <c r="A3" s="101" t="s">
        <v>5</v>
      </c>
      <c r="B3" s="101"/>
      <c r="C3" s="101"/>
      <c r="D3" s="101"/>
      <c r="E3" s="101"/>
      <c r="F3" s="101"/>
      <c r="G3" s="9"/>
    </row>
    <row r="4" spans="1:7" ht="14.25">
      <c r="A4" s="4" t="s">
        <v>38</v>
      </c>
      <c r="B4" s="21" t="s">
        <v>385</v>
      </c>
      <c r="C4" s="5" t="s">
        <v>256</v>
      </c>
      <c r="D4" s="21">
        <v>1.7</v>
      </c>
      <c r="E4" s="3" t="s">
        <v>243</v>
      </c>
      <c r="G4" s="9"/>
    </row>
    <row r="5" spans="1:7" ht="14.25">
      <c r="A5" s="101" t="s">
        <v>39</v>
      </c>
      <c r="B5" s="101"/>
      <c r="C5" s="101"/>
      <c r="D5" s="101"/>
      <c r="E5" s="101"/>
      <c r="F5" s="101"/>
      <c r="G5" s="9"/>
    </row>
    <row r="6" spans="1:7" ht="14.25">
      <c r="A6" s="100" t="s">
        <v>40</v>
      </c>
      <c r="B6" s="100"/>
      <c r="C6" s="100"/>
      <c r="D6" s="100"/>
      <c r="E6" s="100" t="s">
        <v>41</v>
      </c>
      <c r="F6" s="100"/>
      <c r="G6" s="100"/>
    </row>
    <row r="7" spans="1:7" ht="33">
      <c r="A7" s="17" t="s">
        <v>244</v>
      </c>
      <c r="B7" s="17" t="s">
        <v>245</v>
      </c>
      <c r="C7" s="17" t="s">
        <v>326</v>
      </c>
      <c r="D7" s="17" t="s">
        <v>328</v>
      </c>
      <c r="E7" s="17" t="s">
        <v>123</v>
      </c>
      <c r="F7" s="17" t="s">
        <v>124</v>
      </c>
      <c r="G7" s="17" t="s">
        <v>125</v>
      </c>
    </row>
    <row r="8" spans="1:7" ht="14.25">
      <c r="A8" s="21">
        <v>24.5</v>
      </c>
      <c r="B8" s="21">
        <v>513</v>
      </c>
      <c r="C8" s="21">
        <v>1252</v>
      </c>
      <c r="D8" s="21">
        <v>67</v>
      </c>
      <c r="E8" s="21">
        <v>73.5</v>
      </c>
      <c r="F8" s="21">
        <v>434</v>
      </c>
      <c r="G8" s="21">
        <v>1796</v>
      </c>
    </row>
    <row r="9" spans="1:7" ht="14.25">
      <c r="A9" s="3" t="s">
        <v>153</v>
      </c>
      <c r="G9" s="9"/>
    </row>
    <row r="10" spans="4:8" ht="14.25">
      <c r="D10" s="9"/>
      <c r="E10" s="9"/>
      <c r="F10" s="9"/>
      <c r="G10" s="9"/>
      <c r="H10" s="9"/>
    </row>
    <row r="11" spans="4:9" ht="14.25">
      <c r="D11" s="9"/>
      <c r="E11" s="9"/>
      <c r="F11" s="9"/>
      <c r="G11" s="9"/>
      <c r="H11" s="9"/>
      <c r="I11" s="9"/>
    </row>
    <row r="12" spans="1:10" ht="14.25">
      <c r="A12" s="101"/>
      <c r="B12" s="101"/>
      <c r="C12" s="6"/>
      <c r="D12" s="9"/>
      <c r="E12" s="9"/>
      <c r="F12" s="9"/>
      <c r="G12" s="9"/>
      <c r="H12" s="9"/>
      <c r="I12" s="9"/>
      <c r="J12" s="9"/>
    </row>
    <row r="13" spans="1:10" ht="14.25">
      <c r="A13" s="4"/>
      <c r="B13" s="4"/>
      <c r="C13" s="4"/>
      <c r="D13" s="9"/>
      <c r="E13" s="9"/>
      <c r="F13" s="9"/>
      <c r="G13" s="9"/>
      <c r="H13" s="9"/>
      <c r="I13" s="9"/>
      <c r="J13" s="9"/>
    </row>
    <row r="14" spans="1:8" ht="14.25">
      <c r="A14" s="4"/>
      <c r="B14" s="4"/>
      <c r="C14" s="4"/>
      <c r="D14" s="9"/>
      <c r="E14" s="9"/>
      <c r="F14" s="9"/>
      <c r="G14" s="9"/>
      <c r="H14" s="9"/>
    </row>
    <row r="15" spans="1:8" ht="14.25">
      <c r="A15" s="4"/>
      <c r="B15" s="4"/>
      <c r="C15" s="4"/>
      <c r="D15" s="9"/>
      <c r="E15" s="9"/>
      <c r="F15" s="9"/>
      <c r="G15" s="9"/>
      <c r="H15" s="9"/>
    </row>
    <row r="16" spans="1:8" ht="14.25">
      <c r="A16" s="4"/>
      <c r="B16" s="4"/>
      <c r="C16" s="4"/>
      <c r="D16" s="9"/>
      <c r="E16" s="9"/>
      <c r="F16" s="9"/>
      <c r="G16" s="9"/>
      <c r="H16" s="9"/>
    </row>
    <row r="17" spans="1:8" ht="14.25">
      <c r="A17" s="4"/>
      <c r="B17" s="4"/>
      <c r="C17" s="4"/>
      <c r="D17" s="9"/>
      <c r="E17" s="9"/>
      <c r="F17" s="9"/>
      <c r="G17" s="9"/>
      <c r="H17" s="9"/>
    </row>
    <row r="18" spans="1:8" ht="14.25">
      <c r="A18" s="4"/>
      <c r="B18" s="4"/>
      <c r="C18" s="4"/>
      <c r="D18" s="9"/>
      <c r="E18" s="9"/>
      <c r="F18" s="9"/>
      <c r="G18" s="9"/>
      <c r="H18" s="9"/>
    </row>
    <row r="19" spans="1:8" ht="14.25">
      <c r="A19" s="4"/>
      <c r="B19" s="4"/>
      <c r="C19" s="4"/>
      <c r="D19" s="9"/>
      <c r="E19" s="9"/>
      <c r="F19" s="9"/>
      <c r="G19" s="9"/>
      <c r="H19" s="9"/>
    </row>
    <row r="20" spans="1:7" ht="14.25">
      <c r="A20" s="4"/>
      <c r="B20" s="4"/>
      <c r="C20" s="4"/>
      <c r="D20" s="4"/>
      <c r="E20" s="4"/>
      <c r="F20" s="4"/>
      <c r="G20" s="9"/>
    </row>
    <row r="21" spans="1:7" ht="14.25">
      <c r="A21" s="4"/>
      <c r="B21" s="4"/>
      <c r="C21" s="4"/>
      <c r="D21" s="4"/>
      <c r="E21" s="4"/>
      <c r="F21" s="4"/>
      <c r="G21" s="9"/>
    </row>
    <row r="22" spans="1:7" ht="14.25">
      <c r="A22" s="4"/>
      <c r="B22" s="4"/>
      <c r="C22" s="4"/>
      <c r="D22" s="4"/>
      <c r="E22" s="4"/>
      <c r="F22" s="4"/>
      <c r="G22" s="9"/>
    </row>
    <row r="23" spans="1:7" ht="14.25">
      <c r="A23" s="4"/>
      <c r="B23" s="4"/>
      <c r="C23" s="4"/>
      <c r="D23" s="4"/>
      <c r="E23" s="4"/>
      <c r="F23" s="4"/>
      <c r="G23" s="9"/>
    </row>
    <row r="24" spans="1:7" ht="14.25">
      <c r="A24" s="4"/>
      <c r="B24" s="4"/>
      <c r="C24" s="4"/>
      <c r="D24" s="4"/>
      <c r="E24" s="4"/>
      <c r="F24" s="4"/>
      <c r="G24" s="9"/>
    </row>
    <row r="25" spans="1:7" ht="14.25">
      <c r="A25" s="4" t="s">
        <v>288</v>
      </c>
      <c r="B25" s="4"/>
      <c r="C25" s="4"/>
      <c r="D25" s="21">
        <v>1.8</v>
      </c>
      <c r="E25" s="3" t="s">
        <v>348</v>
      </c>
      <c r="F25" s="23">
        <v>1</v>
      </c>
      <c r="G25" s="9"/>
    </row>
    <row r="26" spans="1:6" ht="14.25">
      <c r="A26" s="3" t="s">
        <v>347</v>
      </c>
      <c r="B26" s="23">
        <v>6</v>
      </c>
      <c r="C26" s="3" t="s">
        <v>349</v>
      </c>
      <c r="D26" s="23">
        <v>1.2</v>
      </c>
      <c r="E26" s="3" t="s">
        <v>260</v>
      </c>
      <c r="F26" s="23">
        <v>0.8</v>
      </c>
    </row>
    <row r="27" spans="1:6" ht="14.25">
      <c r="A27" s="3" t="s">
        <v>254</v>
      </c>
      <c r="B27" s="23">
        <v>2.1</v>
      </c>
      <c r="C27" s="3" t="s">
        <v>255</v>
      </c>
      <c r="D27" s="23">
        <v>15</v>
      </c>
      <c r="E27" s="3" t="s">
        <v>261</v>
      </c>
      <c r="F27" s="23"/>
    </row>
    <row r="28" spans="1:7" ht="16.5">
      <c r="A28" s="3" t="s">
        <v>246</v>
      </c>
      <c r="B28" s="23"/>
      <c r="C28" s="3" t="s">
        <v>257</v>
      </c>
      <c r="D28" s="9">
        <f>F26*F26*3.14/4+F27*F27</f>
        <v>0.5024000000000001</v>
      </c>
      <c r="E28" s="3" t="s">
        <v>258</v>
      </c>
      <c r="F28" s="9">
        <f>F26*3.14+F27*4</f>
        <v>2.5120000000000005</v>
      </c>
      <c r="G28" s="9"/>
    </row>
    <row r="29" spans="1:6" ht="14.25">
      <c r="A29" s="101" t="s">
        <v>247</v>
      </c>
      <c r="B29" s="101"/>
      <c r="C29" s="23" t="s">
        <v>355</v>
      </c>
      <c r="D29" s="9" t="s">
        <v>338</v>
      </c>
      <c r="E29" s="35" t="s">
        <v>339</v>
      </c>
      <c r="F29" s="9"/>
    </row>
    <row r="30" spans="1:7" ht="14.25">
      <c r="A30" s="4"/>
      <c r="B30" s="4"/>
      <c r="C30" s="28"/>
      <c r="D30" s="28"/>
      <c r="E30" s="28"/>
      <c r="F30" s="28"/>
      <c r="G30" s="9"/>
    </row>
    <row r="31" spans="1:7" ht="14.25">
      <c r="A31" s="4"/>
      <c r="B31" s="4"/>
      <c r="C31" s="28"/>
      <c r="D31" s="28"/>
      <c r="E31" s="28"/>
      <c r="F31" s="28"/>
      <c r="G31" s="9"/>
    </row>
    <row r="32" spans="1:6" ht="14.25">
      <c r="A32" s="101" t="s">
        <v>248</v>
      </c>
      <c r="B32" s="101"/>
      <c r="C32" s="101"/>
      <c r="D32" s="101"/>
      <c r="E32" s="101"/>
      <c r="F32" s="101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  <row r="43" spans="1:6" ht="14.25">
      <c r="A43" s="100"/>
      <c r="B43" s="100"/>
      <c r="C43" s="100"/>
      <c r="D43" s="100"/>
      <c r="E43" s="100"/>
      <c r="F43" s="100"/>
    </row>
    <row r="44" spans="1:6" ht="14.25">
      <c r="A44" s="100"/>
      <c r="B44" s="100"/>
      <c r="C44" s="100"/>
      <c r="D44" s="100"/>
      <c r="E44" s="100"/>
      <c r="F44" s="100"/>
    </row>
    <row r="45" spans="1:6" ht="14.25">
      <c r="A45" s="100"/>
      <c r="B45" s="100"/>
      <c r="C45" s="100"/>
      <c r="D45" s="100"/>
      <c r="E45" s="100"/>
      <c r="F45" s="100"/>
    </row>
    <row r="46" spans="1:6" ht="14.25">
      <c r="A46" s="100"/>
      <c r="B46" s="100"/>
      <c r="C46" s="100"/>
      <c r="D46" s="100"/>
      <c r="E46" s="100"/>
      <c r="F46" s="100"/>
    </row>
    <row r="47" spans="1:7" ht="14.25">
      <c r="A47" s="100"/>
      <c r="B47" s="100"/>
      <c r="C47" s="100"/>
      <c r="D47" s="100"/>
      <c r="E47" s="100"/>
      <c r="F47" s="100"/>
      <c r="G47" s="9"/>
    </row>
    <row r="48" spans="1:6" ht="14.25">
      <c r="A48" s="101" t="s">
        <v>4</v>
      </c>
      <c r="B48" s="101"/>
      <c r="C48" s="101"/>
      <c r="D48" s="101"/>
      <c r="E48" s="101"/>
      <c r="F48" s="101"/>
    </row>
    <row r="49" spans="1:6" ht="14.25">
      <c r="A49" s="101" t="s">
        <v>262</v>
      </c>
      <c r="B49" s="101"/>
      <c r="C49" s="101"/>
      <c r="D49" s="101"/>
      <c r="E49" s="101"/>
      <c r="F49" s="101"/>
    </row>
    <row r="50" spans="1:6" ht="14.25">
      <c r="A50" s="4" t="s">
        <v>263</v>
      </c>
      <c r="B50" s="4"/>
      <c r="C50" s="4"/>
      <c r="D50" s="4"/>
      <c r="E50" s="4"/>
      <c r="F50" s="4"/>
    </row>
    <row r="51" spans="1:6" ht="18.75">
      <c r="A51" s="5" t="s">
        <v>264</v>
      </c>
      <c r="B51" s="5" t="s">
        <v>268</v>
      </c>
      <c r="C51" s="5" t="s">
        <v>269</v>
      </c>
      <c r="D51" s="29" t="s">
        <v>270</v>
      </c>
      <c r="E51" s="4"/>
      <c r="F51" s="4"/>
    </row>
    <row r="52" spans="1:6" ht="14.25">
      <c r="A52" s="33">
        <v>1</v>
      </c>
      <c r="B52" s="33">
        <v>5.84</v>
      </c>
      <c r="C52" s="33">
        <v>32</v>
      </c>
      <c r="D52" s="33">
        <v>0.7</v>
      </c>
      <c r="E52" s="4"/>
      <c r="F52" s="4"/>
    </row>
    <row r="53" spans="1:6" ht="14.25">
      <c r="A53" s="33">
        <v>2</v>
      </c>
      <c r="B53" s="33">
        <v>6.7</v>
      </c>
      <c r="C53" s="33">
        <v>20</v>
      </c>
      <c r="D53" s="33">
        <v>0.7</v>
      </c>
      <c r="E53" s="4"/>
      <c r="F53" s="4"/>
    </row>
    <row r="54" spans="1:6" ht="14.25">
      <c r="A54" s="33">
        <v>3</v>
      </c>
      <c r="B54" s="33">
        <v>2.46</v>
      </c>
      <c r="C54" s="33">
        <v>39</v>
      </c>
      <c r="D54" s="33">
        <v>0.7</v>
      </c>
      <c r="E54" s="4"/>
      <c r="F54" s="4"/>
    </row>
    <row r="55" spans="1:6" ht="14.25">
      <c r="A55" s="33"/>
      <c r="B55" s="33"/>
      <c r="C55" s="33"/>
      <c r="D55" s="33"/>
      <c r="E55" s="4"/>
      <c r="F55" s="4"/>
    </row>
    <row r="56" spans="1:6" ht="14.25">
      <c r="A56" s="33"/>
      <c r="B56" s="33"/>
      <c r="C56" s="33"/>
      <c r="D56" s="33"/>
      <c r="E56" s="4"/>
      <c r="F56" s="4"/>
    </row>
    <row r="57" spans="1:6" ht="14.25">
      <c r="A57" s="33"/>
      <c r="B57" s="33"/>
      <c r="C57" s="33"/>
      <c r="D57" s="33"/>
      <c r="E57" s="4"/>
      <c r="F57" s="4"/>
    </row>
    <row r="58" spans="1:6" ht="14.25">
      <c r="A58" s="30"/>
      <c r="B58" s="30"/>
      <c r="C58" s="30"/>
      <c r="D58" s="30"/>
      <c r="E58" s="4"/>
      <c r="F58" s="4"/>
    </row>
    <row r="59" ht="14.25">
      <c r="A59" t="s">
        <v>286</v>
      </c>
    </row>
    <row r="60" spans="2:5" ht="18.75">
      <c r="B60" s="3" t="s">
        <v>280</v>
      </c>
      <c r="D60" s="7">
        <f>ROUND(F28*(B52*C52+B53*C53+B54*C54+B55*C55+B56*C56+B57*C57)/D64,2)</f>
        <v>654.41</v>
      </c>
      <c r="E60" s="3" t="s">
        <v>104</v>
      </c>
    </row>
    <row r="61" spans="1:2" ht="14.25">
      <c r="A61" s="3" t="s">
        <v>53</v>
      </c>
      <c r="B61" s="3" t="s">
        <v>265</v>
      </c>
    </row>
    <row r="62" ht="18.75" customHeight="1">
      <c r="B62" s="3" t="s">
        <v>267</v>
      </c>
    </row>
    <row r="63" ht="18.75" customHeight="1">
      <c r="B63" s="3" t="s">
        <v>266</v>
      </c>
    </row>
    <row r="64" spans="2:4" ht="18.75" customHeight="1">
      <c r="B64" s="3" t="s">
        <v>289</v>
      </c>
      <c r="D64" s="31">
        <v>1.6</v>
      </c>
    </row>
    <row r="65" ht="18.75" customHeight="1">
      <c r="A65" s="3" t="s">
        <v>285</v>
      </c>
    </row>
    <row r="66" spans="2:5" ht="18.75" customHeight="1">
      <c r="B66" s="3" t="s">
        <v>281</v>
      </c>
      <c r="D66" s="7">
        <f>ROUND(F28*(B52*C52*D52+B53*C53*D53+B54*C54*D54+B55*C55*D55+B56*C56*D56+B57*C57*D57)/D64+C69,2)</f>
        <v>748.77</v>
      </c>
      <c r="E66" s="3" t="s">
        <v>104</v>
      </c>
    </row>
    <row r="67" spans="1:2" ht="14.25">
      <c r="A67" s="3" t="s">
        <v>53</v>
      </c>
      <c r="B67" s="3" t="s">
        <v>283</v>
      </c>
    </row>
    <row r="68" ht="18.75" customHeight="1">
      <c r="B68" s="3" t="s">
        <v>284</v>
      </c>
    </row>
    <row r="69" spans="2:4" ht="18.75" customHeight="1">
      <c r="B69" s="3" t="s">
        <v>287</v>
      </c>
      <c r="C69" s="7">
        <f>D79/5+D28*D25*25+D28*(D27-D25)*(25-10)</f>
        <v>290.6832</v>
      </c>
      <c r="D69" s="3" t="s">
        <v>104</v>
      </c>
    </row>
    <row r="72" spans="1:6" ht="14.25">
      <c r="A72" s="101" t="s">
        <v>301</v>
      </c>
      <c r="B72" s="101"/>
      <c r="C72" s="101"/>
      <c r="D72" s="101"/>
      <c r="E72" s="101"/>
      <c r="F72" s="101"/>
    </row>
    <row r="73" spans="1:6" ht="14.25">
      <c r="A73" s="4" t="s">
        <v>302</v>
      </c>
      <c r="B73" s="4"/>
      <c r="C73" s="4"/>
      <c r="D73" s="4"/>
      <c r="E73" s="4"/>
      <c r="F73" s="4"/>
    </row>
    <row r="74" spans="1:6" ht="14.25">
      <c r="A74" s="101" t="s">
        <v>250</v>
      </c>
      <c r="B74" s="101"/>
      <c r="C74" s="101"/>
      <c r="D74" s="101"/>
      <c r="E74" s="101"/>
      <c r="F74" s="101"/>
    </row>
    <row r="75" spans="1:6" ht="16.5">
      <c r="A75" s="101" t="s">
        <v>299</v>
      </c>
      <c r="B75" s="101"/>
      <c r="C75" s="7">
        <f>F25*(2*B26-F25)</f>
        <v>11</v>
      </c>
      <c r="D75" s="3" t="s">
        <v>249</v>
      </c>
      <c r="E75" s="4"/>
      <c r="F75" s="4"/>
    </row>
    <row r="76" spans="1:5" ht="18.75">
      <c r="A76" s="3" t="s">
        <v>61</v>
      </c>
      <c r="B76" s="101" t="s">
        <v>300</v>
      </c>
      <c r="C76" s="101"/>
      <c r="D76" s="7">
        <f>25*F25*(2*B26-F25)*D26</f>
        <v>330</v>
      </c>
      <c r="E76" s="3" t="s">
        <v>104</v>
      </c>
    </row>
    <row r="77" spans="1:5" ht="18.75">
      <c r="A77" s="3" t="s">
        <v>83</v>
      </c>
      <c r="B77" s="101" t="s">
        <v>251</v>
      </c>
      <c r="C77" s="101"/>
      <c r="D77" s="7">
        <f>B28</f>
        <v>0</v>
      </c>
      <c r="E77" s="3" t="s">
        <v>104</v>
      </c>
    </row>
    <row r="78" ht="14.25">
      <c r="A78" s="3" t="s">
        <v>303</v>
      </c>
    </row>
    <row r="79" spans="1:5" ht="18.75">
      <c r="A79" s="3" t="s">
        <v>252</v>
      </c>
      <c r="B79" s="111" t="s">
        <v>304</v>
      </c>
      <c r="C79" s="101"/>
      <c r="D79" s="7">
        <f>B8+D76+D77</f>
        <v>843</v>
      </c>
      <c r="E79" s="3" t="s">
        <v>104</v>
      </c>
    </row>
    <row r="80" spans="1:5" ht="18.75">
      <c r="A80" s="3" t="s">
        <v>327</v>
      </c>
      <c r="B80" s="2" t="s">
        <v>332</v>
      </c>
      <c r="C80" s="4"/>
      <c r="D80" s="7">
        <f>ROUND((A8/5+D8/(4*B27)),2)</f>
        <v>12.88</v>
      </c>
      <c r="E80" s="3" t="s">
        <v>104</v>
      </c>
    </row>
    <row r="81" spans="1:10" ht="18.75">
      <c r="A81" s="3" t="s">
        <v>63</v>
      </c>
      <c r="B81" s="101" t="s">
        <v>305</v>
      </c>
      <c r="C81" s="101"/>
      <c r="D81" s="7">
        <f>C8+A8*D26</f>
        <v>1281.4</v>
      </c>
      <c r="E81" s="3" t="s">
        <v>105</v>
      </c>
      <c r="J81" s="1"/>
    </row>
    <row r="82" spans="2:6" ht="18.75">
      <c r="B82" s="2" t="s">
        <v>310</v>
      </c>
      <c r="C82" s="4"/>
      <c r="D82" s="7">
        <f>D79/5+D81/(2*B27)</f>
        <v>473.6952380952381</v>
      </c>
      <c r="E82" s="3" t="s">
        <v>104</v>
      </c>
      <c r="F82" s="4"/>
    </row>
    <row r="83" spans="1:6" ht="18.75">
      <c r="A83" s="4"/>
      <c r="B83" s="2" t="s">
        <v>311</v>
      </c>
      <c r="C83" s="4"/>
      <c r="D83" s="7">
        <f>D79/5-D81/(2*B27)</f>
        <v>-136.49523809523814</v>
      </c>
      <c r="E83" s="3" t="s">
        <v>104</v>
      </c>
      <c r="F83" s="4"/>
    </row>
    <row r="84" spans="1:6" ht="18.75">
      <c r="A84" s="4"/>
      <c r="B84" s="4" t="s">
        <v>309</v>
      </c>
      <c r="C84" s="4"/>
      <c r="D84" s="7">
        <f>(D82+D83)/2</f>
        <v>168.59999999999997</v>
      </c>
      <c r="E84" s="3" t="s">
        <v>104</v>
      </c>
      <c r="F84" s="4"/>
    </row>
    <row r="85" spans="1:6" ht="14.25">
      <c r="A85" s="3" t="s">
        <v>306</v>
      </c>
      <c r="B85" s="4"/>
      <c r="C85" s="4"/>
      <c r="D85" s="7"/>
      <c r="F85" s="4"/>
    </row>
    <row r="86" spans="1:6" ht="18.75">
      <c r="A86" s="3" t="s">
        <v>252</v>
      </c>
      <c r="B86" s="111" t="s">
        <v>307</v>
      </c>
      <c r="C86" s="101"/>
      <c r="D86" s="7">
        <f>F8+D76+D77</f>
        <v>764</v>
      </c>
      <c r="E86" s="3" t="s">
        <v>104</v>
      </c>
      <c r="F86" s="4"/>
    </row>
    <row r="87" spans="1:6" ht="18.75">
      <c r="A87" s="3" t="s">
        <v>327</v>
      </c>
      <c r="B87" s="2" t="s">
        <v>329</v>
      </c>
      <c r="C87" s="4"/>
      <c r="D87" s="7">
        <f>ROUND(E8/5,2)</f>
        <v>14.7</v>
      </c>
      <c r="E87" s="3" t="s">
        <v>104</v>
      </c>
      <c r="F87" s="4"/>
    </row>
    <row r="88" spans="1:6" ht="18.75">
      <c r="A88" s="3" t="s">
        <v>63</v>
      </c>
      <c r="B88" s="101" t="s">
        <v>308</v>
      </c>
      <c r="C88" s="101"/>
      <c r="D88" s="7">
        <f>G8+E8*D26</f>
        <v>1884.2</v>
      </c>
      <c r="E88" s="3" t="s">
        <v>105</v>
      </c>
      <c r="F88" s="4"/>
    </row>
    <row r="89" spans="2:7" ht="18.75">
      <c r="B89" s="2" t="s">
        <v>323</v>
      </c>
      <c r="C89" s="4"/>
      <c r="D89" s="7">
        <f>D86/5+D88/(2*B27)</f>
        <v>601.4190476190477</v>
      </c>
      <c r="E89" s="3" t="s">
        <v>104</v>
      </c>
      <c r="F89" s="4"/>
      <c r="G89" s="10"/>
    </row>
    <row r="90" spans="1:7" ht="18.75">
      <c r="A90" s="4"/>
      <c r="B90" s="2" t="s">
        <v>324</v>
      </c>
      <c r="C90" s="4"/>
      <c r="D90" s="7">
        <f>D86/5-D88/(2*B27)</f>
        <v>-295.8190476190476</v>
      </c>
      <c r="E90" s="3" t="s">
        <v>104</v>
      </c>
      <c r="F90" s="4"/>
      <c r="G90" s="10"/>
    </row>
    <row r="91" spans="1:7" ht="18.75">
      <c r="A91" s="4"/>
      <c r="B91" s="4" t="s">
        <v>309</v>
      </c>
      <c r="C91" s="4"/>
      <c r="D91" s="7">
        <f>(D89+D90)/2</f>
        <v>152.80000000000004</v>
      </c>
      <c r="E91" s="3" t="s">
        <v>104</v>
      </c>
      <c r="F91" s="4"/>
      <c r="G91" s="10"/>
    </row>
    <row r="92" spans="1:7" ht="14.25">
      <c r="A92" s="4" t="s">
        <v>312</v>
      </c>
      <c r="B92" s="10"/>
      <c r="C92" s="10"/>
      <c r="D92" s="10"/>
      <c r="E92" s="34"/>
      <c r="F92" s="4"/>
      <c r="G92" s="10"/>
    </row>
    <row r="93" spans="1:7" ht="14.25">
      <c r="A93" s="4" t="s">
        <v>318</v>
      </c>
      <c r="B93" s="10" t="s">
        <v>316</v>
      </c>
      <c r="C93" s="10">
        <f>ROUND(IF(D89&gt;D82,D89,D82),2)</f>
        <v>601.42</v>
      </c>
      <c r="D93" s="10" t="s">
        <v>314</v>
      </c>
      <c r="E93" s="34"/>
      <c r="F93" s="4"/>
      <c r="G93" s="10"/>
    </row>
    <row r="94" spans="1:7" ht="14.25">
      <c r="A94" s="4" t="s">
        <v>319</v>
      </c>
      <c r="B94" s="10" t="s">
        <v>315</v>
      </c>
      <c r="C94" s="10">
        <f>0-ROUND(IF(D90&lt;D83,D90,D83),2)</f>
        <v>295.82</v>
      </c>
      <c r="D94" s="10" t="s">
        <v>314</v>
      </c>
      <c r="E94" s="34"/>
      <c r="F94" s="4"/>
      <c r="G94" s="10"/>
    </row>
    <row r="95" spans="1:7" ht="14.25">
      <c r="A95" s="4"/>
      <c r="B95" s="10" t="s">
        <v>317</v>
      </c>
      <c r="C95" s="10">
        <f>ROUND(IF(D91&gt;D84,D91,D84),2)</f>
        <v>168.6</v>
      </c>
      <c r="D95" s="10" t="s">
        <v>314</v>
      </c>
      <c r="E95" s="34"/>
      <c r="F95" s="4"/>
      <c r="G95" s="10"/>
    </row>
    <row r="96" spans="1:7" ht="14.25">
      <c r="A96" s="4" t="s">
        <v>331</v>
      </c>
      <c r="B96" s="10" t="s">
        <v>330</v>
      </c>
      <c r="C96" s="10">
        <f>IF(D87&gt;D80,D87,D80)</f>
        <v>14.7</v>
      </c>
      <c r="D96" s="10" t="s">
        <v>314</v>
      </c>
      <c r="E96" s="34"/>
      <c r="F96" s="4"/>
      <c r="G96" s="10"/>
    </row>
    <row r="97" spans="1:7" ht="18.75">
      <c r="A97" s="10"/>
      <c r="B97" s="10" t="str">
        <f>"1.2R="&amp;ROUND((1.2*D60),2)&amp;"kN"</f>
        <v>1.2R=785.29kN</v>
      </c>
      <c r="C97" s="5" t="s">
        <v>313</v>
      </c>
      <c r="D97" s="10" t="s">
        <v>321</v>
      </c>
      <c r="E97" s="34"/>
      <c r="F97" s="4"/>
      <c r="G97" s="10"/>
    </row>
    <row r="98" spans="1:7" ht="18.75">
      <c r="A98" s="10"/>
      <c r="B98" s="10" t="str">
        <f>"R="&amp;ROUND(D60,2)&amp;"kN"</f>
        <v>R=654.41kN</v>
      </c>
      <c r="C98" s="5" t="s">
        <v>313</v>
      </c>
      <c r="D98" s="10" t="s">
        <v>322</v>
      </c>
      <c r="E98" s="34"/>
      <c r="F98" s="4"/>
      <c r="G98" s="10"/>
    </row>
    <row r="99" spans="1:7" ht="18.75">
      <c r="A99" s="10"/>
      <c r="B99" s="10" t="str">
        <f>"F="&amp;D66&amp;"kN"</f>
        <v>F=748.77kN</v>
      </c>
      <c r="C99" s="5" t="s">
        <v>313</v>
      </c>
      <c r="D99" s="10" t="s">
        <v>325</v>
      </c>
      <c r="E99" s="34"/>
      <c r="F99" s="4"/>
      <c r="G99" s="10"/>
    </row>
    <row r="100" spans="1:7" ht="18.75">
      <c r="A100" s="4"/>
      <c r="B100" s="10" t="s">
        <v>320</v>
      </c>
      <c r="C100" s="30">
        <v>1</v>
      </c>
      <c r="D100" s="10"/>
      <c r="E100" s="34"/>
      <c r="F100" s="4"/>
      <c r="G100" s="10"/>
    </row>
    <row r="101" spans="1:7" ht="14.25">
      <c r="A101" s="4"/>
      <c r="B101" s="10"/>
      <c r="C101" s="10"/>
      <c r="D101" s="10"/>
      <c r="E101" s="34"/>
      <c r="F101" s="4"/>
      <c r="G101" s="10"/>
    </row>
    <row r="102" spans="1:7" ht="14.25">
      <c r="A102" s="4"/>
      <c r="B102" s="4"/>
      <c r="C102" s="4"/>
      <c r="D102" s="4"/>
      <c r="E102" s="4"/>
      <c r="F102" s="4"/>
      <c r="G102" s="10"/>
    </row>
    <row r="103" spans="1:6" ht="14.25">
      <c r="A103" s="100"/>
      <c r="B103" s="100"/>
      <c r="C103" s="100"/>
      <c r="D103" s="100"/>
      <c r="E103" s="100"/>
      <c r="F103" s="100"/>
    </row>
    <row r="104" spans="1:6" ht="14.25">
      <c r="A104" s="101" t="s">
        <v>384</v>
      </c>
      <c r="B104" s="101"/>
      <c r="C104" s="101"/>
      <c r="D104" s="101"/>
      <c r="E104" s="101"/>
      <c r="F104" s="101"/>
    </row>
    <row r="105" spans="1:6" ht="14.25">
      <c r="A105" s="2" t="s">
        <v>383</v>
      </c>
      <c r="B105" s="4"/>
      <c r="C105" s="4"/>
      <c r="D105" s="4"/>
      <c r="E105" s="4"/>
      <c r="F105" s="4"/>
    </row>
    <row r="106" spans="1:6" ht="15.75" customHeight="1">
      <c r="A106" s="111" t="s">
        <v>346</v>
      </c>
      <c r="B106" s="111"/>
      <c r="C106" s="111"/>
      <c r="D106" s="111"/>
      <c r="E106" s="111"/>
      <c r="F106" s="111"/>
    </row>
    <row r="107" spans="1:6" ht="15.75" customHeight="1">
      <c r="A107" s="4"/>
      <c r="B107" s="10" t="s">
        <v>364</v>
      </c>
      <c r="C107" s="4"/>
      <c r="D107" s="4"/>
      <c r="E107" s="4"/>
      <c r="F107" s="4"/>
    </row>
    <row r="108" spans="1:6" ht="15.75" customHeight="1">
      <c r="A108" s="4"/>
      <c r="B108" s="2" t="s">
        <v>342</v>
      </c>
      <c r="C108" s="4"/>
      <c r="D108" s="10">
        <f>(C93*1000-0.9*E109*E110*D28*1000000)/(0.9*E109*300)</f>
        <v>-17927.513113113117</v>
      </c>
      <c r="E108" s="4" t="s">
        <v>343</v>
      </c>
      <c r="F108" s="4"/>
    </row>
    <row r="109" spans="1:6" ht="15.75" customHeight="1">
      <c r="A109" s="3" t="s">
        <v>336</v>
      </c>
      <c r="B109" s="4" t="str">
        <f>"φ为稳定系数，l/D="&amp;D27/(F27+F26)&amp;",经查表可知φ"</f>
        <v>φ为稳定系数，l/D=18.75,经查表可知φ</v>
      </c>
      <c r="C109" s="4"/>
      <c r="E109" s="21">
        <v>0.37</v>
      </c>
      <c r="F109" s="4"/>
    </row>
    <row r="110" spans="1:6" ht="15.75" customHeight="1">
      <c r="A110" s="4"/>
      <c r="B110" s="3" t="s">
        <v>337</v>
      </c>
      <c r="D110" s="4"/>
      <c r="E110" s="21">
        <v>14.3</v>
      </c>
      <c r="F110" s="4"/>
    </row>
    <row r="111" spans="1:6" ht="15.75" customHeight="1">
      <c r="A111" s="111" t="s">
        <v>345</v>
      </c>
      <c r="B111" s="101"/>
      <c r="C111" s="101"/>
      <c r="D111" s="101"/>
      <c r="E111" s="101"/>
      <c r="F111" s="101"/>
    </row>
    <row r="112" spans="1:6" ht="15.75" customHeight="1">
      <c r="A112" s="4"/>
      <c r="B112" s="4" t="s">
        <v>340</v>
      </c>
      <c r="C112" s="4"/>
      <c r="D112" s="4"/>
      <c r="E112" s="4"/>
      <c r="F112" s="4"/>
    </row>
    <row r="113" spans="1:6" ht="15.75" customHeight="1">
      <c r="A113" s="4"/>
      <c r="B113" s="4" t="s">
        <v>341</v>
      </c>
      <c r="C113" s="10">
        <f>C94*1000/300</f>
        <v>986.0666666666667</v>
      </c>
      <c r="D113" s="4" t="s">
        <v>343</v>
      </c>
      <c r="E113" s="4"/>
      <c r="F113" s="4"/>
    </row>
    <row r="114" spans="1:6" ht="15.75" customHeight="1">
      <c r="A114" s="3" t="s">
        <v>53</v>
      </c>
      <c r="B114" s="4" t="s">
        <v>106</v>
      </c>
      <c r="C114" s="4"/>
      <c r="D114" s="4"/>
      <c r="E114" s="4"/>
      <c r="F114" s="4"/>
    </row>
    <row r="115" spans="2:6" ht="15.75" customHeight="1">
      <c r="B115" s="11" t="s">
        <v>213</v>
      </c>
      <c r="C115" s="26">
        <v>300</v>
      </c>
      <c r="D115" s="3" t="s">
        <v>214</v>
      </c>
      <c r="E115" s="103"/>
      <c r="F115" s="103"/>
    </row>
    <row r="116" spans="1:6" ht="15.75" customHeight="1">
      <c r="A116" s="3" t="s">
        <v>215</v>
      </c>
      <c r="B116" s="4" t="s">
        <v>344</v>
      </c>
      <c r="C116" s="20">
        <f>D117*D28*1000000</f>
        <v>1004.8000000000002</v>
      </c>
      <c r="D116" s="3" t="s">
        <v>217</v>
      </c>
      <c r="E116" s="103"/>
      <c r="F116" s="103"/>
    </row>
    <row r="117" spans="1:6" ht="15.75" customHeight="1">
      <c r="A117" s="3" t="s">
        <v>53</v>
      </c>
      <c r="B117" s="101" t="s">
        <v>88</v>
      </c>
      <c r="C117" s="101"/>
      <c r="D117" s="21">
        <v>0.002</v>
      </c>
      <c r="E117" s="103"/>
      <c r="F117" s="103"/>
    </row>
    <row r="118" spans="1:6" ht="15.75" customHeight="1">
      <c r="A118" s="3" t="s">
        <v>253</v>
      </c>
      <c r="B118" s="92" t="s">
        <v>386</v>
      </c>
      <c r="C118" s="92"/>
      <c r="D118" s="100"/>
      <c r="E118" s="100"/>
      <c r="F118" s="100"/>
    </row>
    <row r="119" spans="2:6" ht="15.75" customHeight="1">
      <c r="B119" s="101" t="s">
        <v>145</v>
      </c>
      <c r="C119" s="101"/>
      <c r="D119" s="21">
        <v>3216</v>
      </c>
      <c r="E119" s="3" t="s">
        <v>219</v>
      </c>
      <c r="F119" s="5" t="s">
        <v>220</v>
      </c>
    </row>
    <row r="120" ht="14.25">
      <c r="A120" s="4" t="s">
        <v>382</v>
      </c>
    </row>
    <row r="121" spans="2:4" ht="14.25">
      <c r="B121" s="11" t="s">
        <v>350</v>
      </c>
      <c r="C121" s="4">
        <f>D89*B27-0.5*F25*D26*25*B26*B26/4</f>
        <v>1127.9800000000002</v>
      </c>
      <c r="D121" s="3" t="s">
        <v>105</v>
      </c>
    </row>
    <row r="122" spans="2:5" ht="18.75">
      <c r="B122" s="3" t="s">
        <v>351</v>
      </c>
      <c r="D122" s="3">
        <f>ROUND(1*C124*F25*1000/300*(C123-POWER((C123*C123-2*C121*1000/(1*C124*F25)),0.5)),2)</f>
        <v>3342.34</v>
      </c>
      <c r="E122" s="3" t="s">
        <v>219</v>
      </c>
    </row>
    <row r="123" spans="1:3" ht="14.25">
      <c r="A123" s="3" t="s">
        <v>352</v>
      </c>
      <c r="B123" s="3" t="s">
        <v>353</v>
      </c>
      <c r="C123" s="4">
        <f>D26*1000-40</f>
        <v>1160</v>
      </c>
    </row>
    <row r="124" spans="2:3" ht="14.25">
      <c r="B124" s="3" t="s">
        <v>354</v>
      </c>
      <c r="C124" s="37">
        <v>14.3</v>
      </c>
    </row>
    <row r="125" spans="1:6" ht="18.75">
      <c r="A125" s="3" t="s">
        <v>215</v>
      </c>
      <c r="B125" s="4" t="s">
        <v>344</v>
      </c>
      <c r="C125" s="20">
        <f>D126*F25*D26*1000000</f>
        <v>2580</v>
      </c>
      <c r="D125" s="3" t="s">
        <v>217</v>
      </c>
      <c r="E125" s="103"/>
      <c r="F125" s="103"/>
    </row>
    <row r="126" spans="1:6" ht="15.75" customHeight="1">
      <c r="A126" s="3" t="s">
        <v>53</v>
      </c>
      <c r="B126" s="101" t="s">
        <v>88</v>
      </c>
      <c r="C126" s="101"/>
      <c r="D126" s="21">
        <v>0.00215</v>
      </c>
      <c r="E126" s="103"/>
      <c r="F126" s="103"/>
    </row>
    <row r="127" spans="1:6" ht="15.75" customHeight="1">
      <c r="A127" s="3" t="s">
        <v>253</v>
      </c>
      <c r="B127" s="92" t="s">
        <v>387</v>
      </c>
      <c r="C127" s="92"/>
      <c r="D127" s="100"/>
      <c r="E127" s="100"/>
      <c r="F127" s="100"/>
    </row>
    <row r="128" spans="2:6" ht="18.75">
      <c r="B128" s="101" t="s">
        <v>145</v>
      </c>
      <c r="C128" s="101"/>
      <c r="D128" s="21">
        <v>5320</v>
      </c>
      <c r="E128" s="3" t="s">
        <v>219</v>
      </c>
      <c r="F128" s="5" t="s">
        <v>220</v>
      </c>
    </row>
    <row r="129" spans="1:6" ht="14.25">
      <c r="A129" s="101" t="s">
        <v>356</v>
      </c>
      <c r="B129" s="101"/>
      <c r="C129" s="101"/>
      <c r="D129" s="101"/>
      <c r="E129" s="101"/>
      <c r="F129" s="101"/>
    </row>
    <row r="131" spans="7:8" ht="14.25">
      <c r="G131" s="7"/>
      <c r="H131" s="10"/>
    </row>
    <row r="132" spans="7:8" ht="14.25">
      <c r="G132" s="7"/>
      <c r="H132" s="10"/>
    </row>
    <row r="133" spans="7:8" ht="14.25">
      <c r="G133" s="7"/>
      <c r="H133" s="10"/>
    </row>
    <row r="136" spans="1:6" ht="13.5" customHeight="1">
      <c r="A136" s="100"/>
      <c r="B136" s="100"/>
      <c r="C136" s="100"/>
      <c r="D136" s="100"/>
      <c r="E136" s="100"/>
      <c r="F136" s="100"/>
    </row>
    <row r="137" ht="15" customHeight="1"/>
    <row r="138" ht="16.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8" customHeight="1"/>
    <row r="146" ht="18" customHeight="1"/>
    <row r="147" ht="15" customHeight="1"/>
    <row r="148" ht="15" customHeight="1"/>
    <row r="149" ht="20.25" customHeight="1"/>
    <row r="150" ht="15" customHeight="1"/>
    <row r="151" ht="15" customHeight="1"/>
    <row r="152" ht="20.25" customHeight="1"/>
    <row r="153" ht="15" customHeight="1"/>
    <row r="154" ht="15" customHeight="1"/>
    <row r="155" ht="18" customHeight="1"/>
    <row r="156" ht="15" customHeight="1"/>
  </sheetData>
  <sheetProtection/>
  <mergeCells count="41">
    <mergeCell ref="A111:F111"/>
    <mergeCell ref="A106:F106"/>
    <mergeCell ref="A104:F104"/>
    <mergeCell ref="A5:F5"/>
    <mergeCell ref="A12:B12"/>
    <mergeCell ref="E6:G6"/>
    <mergeCell ref="A6:D6"/>
    <mergeCell ref="A75:B75"/>
    <mergeCell ref="A29:B29"/>
    <mergeCell ref="A48:F48"/>
    <mergeCell ref="E115:F115"/>
    <mergeCell ref="A1:F1"/>
    <mergeCell ref="B2:F2"/>
    <mergeCell ref="B76:C76"/>
    <mergeCell ref="A3:F3"/>
    <mergeCell ref="B77:C77"/>
    <mergeCell ref="B81:C81"/>
    <mergeCell ref="B79:C79"/>
    <mergeCell ref="B86:C86"/>
    <mergeCell ref="B88:C88"/>
    <mergeCell ref="A32:F32"/>
    <mergeCell ref="A47:F47"/>
    <mergeCell ref="A33:F46"/>
    <mergeCell ref="A49:F49"/>
    <mergeCell ref="A72:F72"/>
    <mergeCell ref="A74:F74"/>
    <mergeCell ref="A136:F136"/>
    <mergeCell ref="B117:C117"/>
    <mergeCell ref="E116:F116"/>
    <mergeCell ref="E117:F117"/>
    <mergeCell ref="B119:C119"/>
    <mergeCell ref="D118:F118"/>
    <mergeCell ref="B118:C118"/>
    <mergeCell ref="A103:F103"/>
    <mergeCell ref="B128:C128"/>
    <mergeCell ref="A129:F129"/>
    <mergeCell ref="E125:F125"/>
    <mergeCell ref="B126:C126"/>
    <mergeCell ref="E126:F126"/>
    <mergeCell ref="B127:C127"/>
    <mergeCell ref="D127:F127"/>
  </mergeCells>
  <dataValidations count="1">
    <dataValidation type="list" allowBlank="1" showInputMessage="1" showErrorMessage="1" sqref="C29:C31">
      <formula1>"C25,C30,C35"</formula1>
    </dataValidation>
  </dataValidations>
  <printOptions gridLines="1"/>
  <pageMargins left="0.7874015748031497" right="0.7874015748031497" top="0.7874015748031497" bottom="0.7874015748031497" header="0.5118110236220472" footer="0.5118110236220472"/>
  <pageSetup orientation="portrait" paperSize="9" scale="8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9"/>
  <sheetViews>
    <sheetView showGridLines="0" zoomScale="85" zoomScaleNormal="85" workbookViewId="0" topLeftCell="A61">
      <selection activeCell="D34" sqref="D34:E34"/>
    </sheetView>
  </sheetViews>
  <sheetFormatPr defaultColWidth="9.00390625" defaultRowHeight="14.25"/>
  <cols>
    <col min="1" max="1" width="2.625" style="0" customWidth="1"/>
    <col min="3" max="3" width="8.375" style="0" customWidth="1"/>
    <col min="4" max="4" width="10.875" style="0" customWidth="1"/>
    <col min="5" max="5" width="12.50390625" style="0" customWidth="1"/>
    <col min="6" max="7" width="9.00390625" style="8" customWidth="1"/>
    <col min="9" max="9" width="18.00390625" style="0" customWidth="1"/>
    <col min="10" max="11" width="12.75390625" style="0" customWidth="1"/>
    <col min="12" max="12" width="14.375" style="0" customWidth="1"/>
    <col min="13" max="13" width="12.75390625" style="0" customWidth="1"/>
  </cols>
  <sheetData>
    <row r="1" spans="2:7" ht="24" customHeight="1" thickBot="1">
      <c r="B1" s="115" t="s">
        <v>13</v>
      </c>
      <c r="C1" s="115"/>
      <c r="D1" s="115"/>
      <c r="E1" s="115"/>
      <c r="F1" s="115"/>
      <c r="G1" s="115"/>
    </row>
    <row r="2" spans="2:7" ht="18.75">
      <c r="B2" s="126" t="s">
        <v>17</v>
      </c>
      <c r="C2" s="127"/>
      <c r="D2" s="127"/>
      <c r="E2" s="127"/>
      <c r="F2" s="43" t="s">
        <v>21</v>
      </c>
      <c r="G2" s="56" t="s">
        <v>20</v>
      </c>
    </row>
    <row r="3" spans="2:7" ht="14.25">
      <c r="B3" s="116" t="s">
        <v>14</v>
      </c>
      <c r="C3" s="117"/>
      <c r="D3" s="117"/>
      <c r="E3" s="117"/>
      <c r="F3" s="45">
        <v>0</v>
      </c>
      <c r="G3" s="50">
        <v>1</v>
      </c>
    </row>
    <row r="4" spans="2:7" ht="32.25" customHeight="1">
      <c r="B4" s="123" t="s">
        <v>28</v>
      </c>
      <c r="C4" s="124"/>
      <c r="D4" s="124"/>
      <c r="E4" s="124"/>
      <c r="F4" s="45">
        <v>0</v>
      </c>
      <c r="G4" s="50">
        <v>1</v>
      </c>
    </row>
    <row r="5" spans="2:7" ht="18" customHeight="1">
      <c r="B5" s="125" t="s">
        <v>15</v>
      </c>
      <c r="C5" s="121" t="s">
        <v>75</v>
      </c>
      <c r="D5" s="121"/>
      <c r="E5" s="121"/>
      <c r="F5" s="122" t="s">
        <v>26</v>
      </c>
      <c r="G5" s="135" t="s">
        <v>27</v>
      </c>
    </row>
    <row r="6" spans="2:7" ht="18" customHeight="1">
      <c r="B6" s="125"/>
      <c r="C6" s="121"/>
      <c r="D6" s="121"/>
      <c r="E6" s="121"/>
      <c r="F6" s="122"/>
      <c r="G6" s="135"/>
    </row>
    <row r="7" spans="2:7" ht="44.25" customHeight="1">
      <c r="B7" s="52" t="s">
        <v>16</v>
      </c>
      <c r="C7" s="114" t="s">
        <v>19</v>
      </c>
      <c r="D7" s="114"/>
      <c r="E7" s="114"/>
      <c r="F7" s="47" t="s">
        <v>22</v>
      </c>
      <c r="G7" s="51" t="s">
        <v>23</v>
      </c>
    </row>
    <row r="8" spans="2:7" ht="32.25" customHeight="1">
      <c r="B8" s="39" t="s">
        <v>18</v>
      </c>
      <c r="C8" s="121" t="s">
        <v>76</v>
      </c>
      <c r="D8" s="121"/>
      <c r="E8" s="121"/>
      <c r="F8" s="47" t="s">
        <v>24</v>
      </c>
      <c r="G8" s="51" t="s">
        <v>25</v>
      </c>
    </row>
    <row r="9" spans="2:7" ht="18.75">
      <c r="B9" s="116" t="s">
        <v>29</v>
      </c>
      <c r="C9" s="117"/>
      <c r="D9" s="117"/>
      <c r="E9" s="117"/>
      <c r="F9" s="44">
        <v>0.3</v>
      </c>
      <c r="G9" s="49">
        <v>1.6</v>
      </c>
    </row>
    <row r="10" spans="2:7" ht="31.5" customHeight="1">
      <c r="B10" s="118" t="s">
        <v>30</v>
      </c>
      <c r="C10" s="114"/>
      <c r="D10" s="114"/>
      <c r="E10" s="114"/>
      <c r="F10" s="46">
        <v>2</v>
      </c>
      <c r="G10" s="50">
        <v>3</v>
      </c>
    </row>
    <row r="11" spans="2:7" ht="15" thickBot="1">
      <c r="B11" s="119" t="s">
        <v>31</v>
      </c>
      <c r="C11" s="120"/>
      <c r="D11" s="120"/>
      <c r="E11" s="120"/>
      <c r="F11" s="54">
        <v>3</v>
      </c>
      <c r="G11" s="55">
        <v>4.4</v>
      </c>
    </row>
    <row r="12" spans="2:11" ht="15" thickBot="1">
      <c r="B12" s="93"/>
      <c r="C12" s="93"/>
      <c r="D12" s="93"/>
      <c r="E12" s="93"/>
      <c r="F12" s="93"/>
      <c r="G12" s="93"/>
      <c r="I12" s="132" t="s">
        <v>361</v>
      </c>
      <c r="J12" s="132"/>
      <c r="K12" s="132"/>
    </row>
    <row r="13" spans="2:11" ht="15" thickBot="1">
      <c r="B13" s="115" t="s">
        <v>32</v>
      </c>
      <c r="C13" s="115"/>
      <c r="D13" s="115"/>
      <c r="E13" s="115"/>
      <c r="F13" s="115"/>
      <c r="G13" s="42"/>
      <c r="I13" s="133" t="s">
        <v>357</v>
      </c>
      <c r="J13" s="64" t="s">
        <v>358</v>
      </c>
      <c r="K13" s="86">
        <v>0.006</v>
      </c>
    </row>
    <row r="14" spans="2:11" ht="15" thickBot="1">
      <c r="B14" s="129" t="s">
        <v>33</v>
      </c>
      <c r="C14" s="130"/>
      <c r="D14" s="64" t="s">
        <v>34</v>
      </c>
      <c r="E14" s="43">
        <v>3</v>
      </c>
      <c r="F14" s="60" t="s">
        <v>1</v>
      </c>
      <c r="G14" s="56"/>
      <c r="I14" s="134"/>
      <c r="J14" s="40" t="s">
        <v>359</v>
      </c>
      <c r="K14" s="41">
        <v>0.002</v>
      </c>
    </row>
    <row r="15" spans="2:7" ht="15" thickBot="1">
      <c r="B15" s="57"/>
      <c r="C15" s="40"/>
      <c r="D15" s="40" t="s">
        <v>35</v>
      </c>
      <c r="E15" s="58">
        <v>6</v>
      </c>
      <c r="F15" s="53" t="s">
        <v>1</v>
      </c>
      <c r="G15" s="59"/>
    </row>
    <row r="16" spans="2:7" ht="14.25">
      <c r="B16" s="93"/>
      <c r="C16" s="93"/>
      <c r="D16" s="93"/>
      <c r="E16" s="93"/>
      <c r="F16" s="93"/>
      <c r="G16" s="93"/>
    </row>
    <row r="17" spans="2:5" ht="15" thickBot="1">
      <c r="B17" s="128" t="s">
        <v>74</v>
      </c>
      <c r="C17" s="128"/>
      <c r="D17" s="128"/>
      <c r="E17" s="128"/>
    </row>
    <row r="18" spans="2:13" ht="19.5" thickBot="1">
      <c r="B18" s="129" t="s">
        <v>73</v>
      </c>
      <c r="C18" s="130"/>
      <c r="D18" s="130"/>
      <c r="E18" s="131"/>
      <c r="I18" s="136" t="s">
        <v>360</v>
      </c>
      <c r="J18" s="136"/>
      <c r="K18" s="136"/>
      <c r="L18" s="136"/>
      <c r="M18" s="38"/>
    </row>
    <row r="19" spans="2:13" ht="14.25">
      <c r="B19" s="61"/>
      <c r="C19" s="36" t="s">
        <v>78</v>
      </c>
      <c r="D19" s="36"/>
      <c r="E19" s="62">
        <v>1</v>
      </c>
      <c r="I19" s="87" t="s">
        <v>366</v>
      </c>
      <c r="J19" s="43" t="s">
        <v>362</v>
      </c>
      <c r="K19" s="43" t="s">
        <v>369</v>
      </c>
      <c r="L19" s="56" t="s">
        <v>372</v>
      </c>
      <c r="M19" s="8"/>
    </row>
    <row r="20" spans="2:13" ht="19.5" thickBot="1">
      <c r="B20" s="57"/>
      <c r="C20" s="40" t="s">
        <v>77</v>
      </c>
      <c r="D20" s="40"/>
      <c r="E20" s="63">
        <v>0.9</v>
      </c>
      <c r="I20" s="48" t="s">
        <v>367</v>
      </c>
      <c r="J20" s="44" t="s">
        <v>368</v>
      </c>
      <c r="K20" s="44" t="s">
        <v>370</v>
      </c>
      <c r="L20" s="49" t="s">
        <v>371</v>
      </c>
      <c r="M20" s="8"/>
    </row>
    <row r="21" spans="2:12" ht="14.25">
      <c r="B21" s="111" t="s">
        <v>79</v>
      </c>
      <c r="C21" s="111"/>
      <c r="D21" s="111"/>
      <c r="I21" s="48" t="s">
        <v>373</v>
      </c>
      <c r="J21" s="88">
        <v>0.2</v>
      </c>
      <c r="K21" s="88"/>
      <c r="L21" s="89"/>
    </row>
    <row r="22" spans="2:12" ht="14.25">
      <c r="B22" s="93"/>
      <c r="C22" s="93"/>
      <c r="D22" s="93"/>
      <c r="E22" s="93"/>
      <c r="F22" s="93"/>
      <c r="G22" s="93"/>
      <c r="I22" s="48" t="s">
        <v>374</v>
      </c>
      <c r="J22" s="88">
        <v>0.236</v>
      </c>
      <c r="K22" s="88">
        <v>0.2</v>
      </c>
      <c r="L22" s="89">
        <v>0.2</v>
      </c>
    </row>
    <row r="23" spans="2:12" ht="15" thickBot="1">
      <c r="B23" s="128" t="s">
        <v>91</v>
      </c>
      <c r="C23" s="128"/>
      <c r="D23" s="128"/>
      <c r="E23" s="128"/>
      <c r="I23" s="48" t="s">
        <v>374</v>
      </c>
      <c r="J23" s="88">
        <v>0.272</v>
      </c>
      <c r="K23" s="88">
        <v>0.2</v>
      </c>
      <c r="L23" s="89">
        <v>0.2</v>
      </c>
    </row>
    <row r="24" spans="2:12" ht="13.5" customHeight="1">
      <c r="B24" s="126" t="s">
        <v>89</v>
      </c>
      <c r="C24" s="127"/>
      <c r="D24" s="127" t="s">
        <v>90</v>
      </c>
      <c r="E24" s="137"/>
      <c r="I24" s="48" t="s">
        <v>375</v>
      </c>
      <c r="J24" s="88">
        <v>0.306</v>
      </c>
      <c r="K24" s="88">
        <v>0.215</v>
      </c>
      <c r="L24" s="89">
        <v>0.2</v>
      </c>
    </row>
    <row r="25" spans="2:12" ht="14.25">
      <c r="B25" s="98">
        <v>6</v>
      </c>
      <c r="C25" s="94"/>
      <c r="D25" s="94">
        <v>28.3</v>
      </c>
      <c r="E25" s="95"/>
      <c r="I25" s="48" t="s">
        <v>376</v>
      </c>
      <c r="J25" s="88">
        <v>0.336</v>
      </c>
      <c r="K25" s="88">
        <v>0.236</v>
      </c>
      <c r="L25" s="89">
        <v>0.2</v>
      </c>
    </row>
    <row r="26" spans="2:12" ht="14.25">
      <c r="B26" s="98">
        <v>8</v>
      </c>
      <c r="C26" s="94"/>
      <c r="D26" s="94">
        <v>50.3</v>
      </c>
      <c r="E26" s="95"/>
      <c r="I26" s="48" t="s">
        <v>377</v>
      </c>
      <c r="J26" s="88">
        <v>0.366</v>
      </c>
      <c r="K26" s="88">
        <v>0.257</v>
      </c>
      <c r="L26" s="89">
        <v>0.214</v>
      </c>
    </row>
    <row r="27" spans="2:12" ht="14.25">
      <c r="B27" s="98">
        <v>10</v>
      </c>
      <c r="C27" s="94"/>
      <c r="D27" s="94">
        <v>78.5</v>
      </c>
      <c r="E27" s="95"/>
      <c r="I27" s="48" t="s">
        <v>378</v>
      </c>
      <c r="J27" s="88">
        <v>0.386</v>
      </c>
      <c r="K27" s="88">
        <v>0.27</v>
      </c>
      <c r="L27" s="89">
        <v>0.225</v>
      </c>
    </row>
    <row r="28" spans="2:12" ht="14.25">
      <c r="B28" s="98">
        <v>12</v>
      </c>
      <c r="C28" s="94"/>
      <c r="D28" s="94">
        <v>113.1</v>
      </c>
      <c r="E28" s="95"/>
      <c r="I28" s="48" t="s">
        <v>379</v>
      </c>
      <c r="J28" s="88">
        <v>0.405</v>
      </c>
      <c r="K28" s="88">
        <v>0.284</v>
      </c>
      <c r="L28" s="89">
        <v>0.236</v>
      </c>
    </row>
    <row r="29" spans="2:12" ht="14.25">
      <c r="B29" s="98">
        <v>14</v>
      </c>
      <c r="C29" s="94"/>
      <c r="D29" s="94">
        <v>153.9</v>
      </c>
      <c r="E29" s="95"/>
      <c r="I29" s="48" t="s">
        <v>380</v>
      </c>
      <c r="J29" s="88">
        <v>0.42</v>
      </c>
      <c r="K29" s="88">
        <v>0.294</v>
      </c>
      <c r="L29" s="89">
        <v>0.245</v>
      </c>
    </row>
    <row r="30" spans="2:12" ht="15" thickBot="1">
      <c r="B30" s="98">
        <v>16</v>
      </c>
      <c r="C30" s="94"/>
      <c r="D30" s="94">
        <v>201</v>
      </c>
      <c r="E30" s="95"/>
      <c r="I30" s="66" t="s">
        <v>381</v>
      </c>
      <c r="J30" s="90">
        <v>0.437</v>
      </c>
      <c r="K30" s="90">
        <v>0.306</v>
      </c>
      <c r="L30" s="91">
        <v>0.255</v>
      </c>
    </row>
    <row r="31" spans="2:5" ht="14.25">
      <c r="B31" s="98">
        <v>18</v>
      </c>
      <c r="C31" s="94"/>
      <c r="D31" s="94">
        <v>254</v>
      </c>
      <c r="E31" s="95"/>
    </row>
    <row r="32" spans="2:5" ht="14.25">
      <c r="B32" s="98">
        <v>20</v>
      </c>
      <c r="C32" s="94"/>
      <c r="D32" s="94">
        <v>314</v>
      </c>
      <c r="E32" s="95"/>
    </row>
    <row r="33" spans="2:5" ht="14.25">
      <c r="B33" s="98">
        <v>22</v>
      </c>
      <c r="C33" s="94"/>
      <c r="D33" s="94">
        <v>380</v>
      </c>
      <c r="E33" s="95"/>
    </row>
    <row r="34" spans="2:5" ht="14.25">
      <c r="B34" s="98">
        <v>25</v>
      </c>
      <c r="C34" s="94"/>
      <c r="D34" s="94">
        <v>491</v>
      </c>
      <c r="E34" s="95"/>
    </row>
    <row r="35" spans="2:5" ht="14.25">
      <c r="B35" s="98">
        <v>28</v>
      </c>
      <c r="C35" s="94"/>
      <c r="D35" s="94">
        <v>616</v>
      </c>
      <c r="E35" s="95"/>
    </row>
    <row r="36" spans="2:5" ht="15" thickBot="1">
      <c r="B36" s="99">
        <v>32</v>
      </c>
      <c r="C36" s="96"/>
      <c r="D36" s="96">
        <v>804</v>
      </c>
      <c r="E36" s="97"/>
    </row>
    <row r="38" spans="2:5" ht="15" thickBot="1">
      <c r="B38" s="93" t="s">
        <v>363</v>
      </c>
      <c r="C38" s="93"/>
      <c r="D38" s="93"/>
      <c r="E38" s="93"/>
    </row>
    <row r="39" spans="2:5" ht="14.25">
      <c r="B39" s="112" t="s">
        <v>237</v>
      </c>
      <c r="C39" s="113"/>
      <c r="D39" s="43" t="s">
        <v>236</v>
      </c>
      <c r="E39" s="69" t="s">
        <v>272</v>
      </c>
    </row>
    <row r="40" spans="2:5" ht="15.75">
      <c r="B40" s="70" t="s">
        <v>271</v>
      </c>
      <c r="C40" s="67">
        <v>15</v>
      </c>
      <c r="D40" s="36">
        <v>0.91</v>
      </c>
      <c r="E40" s="71">
        <v>7.2</v>
      </c>
    </row>
    <row r="41" spans="2:5" ht="15.75">
      <c r="B41" s="70" t="s">
        <v>271</v>
      </c>
      <c r="C41" s="67">
        <v>20</v>
      </c>
      <c r="D41" s="68">
        <v>1.1</v>
      </c>
      <c r="E41" s="71">
        <v>9.6</v>
      </c>
    </row>
    <row r="42" spans="2:5" ht="15.75">
      <c r="B42" s="70" t="s">
        <v>271</v>
      </c>
      <c r="C42" s="67">
        <v>25</v>
      </c>
      <c r="D42" s="68">
        <v>1.27</v>
      </c>
      <c r="E42" s="71">
        <v>11.9</v>
      </c>
    </row>
    <row r="43" spans="2:5" ht="15.75">
      <c r="B43" s="70" t="s">
        <v>271</v>
      </c>
      <c r="C43" s="67">
        <v>30</v>
      </c>
      <c r="D43" s="68">
        <v>1.43</v>
      </c>
      <c r="E43" s="71">
        <v>14.3</v>
      </c>
    </row>
    <row r="44" spans="2:5" ht="15.75">
      <c r="B44" s="70" t="s">
        <v>271</v>
      </c>
      <c r="C44" s="67">
        <v>35</v>
      </c>
      <c r="D44" s="68">
        <v>1.57</v>
      </c>
      <c r="E44" s="71">
        <v>16.7</v>
      </c>
    </row>
    <row r="45" spans="2:5" ht="15.75">
      <c r="B45" s="70" t="s">
        <v>271</v>
      </c>
      <c r="C45" s="67">
        <v>40</v>
      </c>
      <c r="D45" s="68">
        <v>1.71</v>
      </c>
      <c r="E45" s="71">
        <v>19.1</v>
      </c>
    </row>
    <row r="46" spans="2:5" ht="15.75">
      <c r="B46" s="70" t="s">
        <v>271</v>
      </c>
      <c r="C46" s="67">
        <v>45</v>
      </c>
      <c r="D46" s="68">
        <v>1.8</v>
      </c>
      <c r="E46" s="71">
        <v>21.1</v>
      </c>
    </row>
    <row r="47" spans="2:5" ht="15.75">
      <c r="B47" s="70" t="s">
        <v>271</v>
      </c>
      <c r="C47" s="67">
        <v>50</v>
      </c>
      <c r="D47" s="68">
        <v>1.89</v>
      </c>
      <c r="E47" s="71">
        <v>23.1</v>
      </c>
    </row>
    <row r="48" spans="2:5" ht="15.75">
      <c r="B48" s="70" t="s">
        <v>271</v>
      </c>
      <c r="C48" s="67">
        <v>55</v>
      </c>
      <c r="D48" s="68">
        <v>1.96</v>
      </c>
      <c r="E48" s="71">
        <v>25.3</v>
      </c>
    </row>
    <row r="49" spans="2:5" ht="16.5" thickBot="1">
      <c r="B49" s="72" t="s">
        <v>271</v>
      </c>
      <c r="C49" s="73">
        <v>60</v>
      </c>
      <c r="D49" s="74">
        <v>2.04</v>
      </c>
      <c r="E49" s="75">
        <v>27.5</v>
      </c>
    </row>
    <row r="50" ht="14.25">
      <c r="B50" s="32"/>
    </row>
    <row r="51" spans="2:5" ht="15" thickBot="1">
      <c r="B51" s="93" t="s">
        <v>282</v>
      </c>
      <c r="C51" s="93"/>
      <c r="D51" s="93"/>
      <c r="E51" s="93"/>
    </row>
    <row r="52" spans="3:4" ht="14.25">
      <c r="C52" s="65" t="s">
        <v>273</v>
      </c>
      <c r="D52" s="56" t="s">
        <v>277</v>
      </c>
    </row>
    <row r="53" spans="3:4" ht="14.25">
      <c r="C53" s="48" t="s">
        <v>274</v>
      </c>
      <c r="D53" s="76" t="s">
        <v>278</v>
      </c>
    </row>
    <row r="54" spans="3:4" ht="14.25">
      <c r="C54" s="48" t="s">
        <v>275</v>
      </c>
      <c r="D54" s="76" t="s">
        <v>279</v>
      </c>
    </row>
    <row r="55" spans="3:4" ht="15" thickBot="1">
      <c r="C55" s="66" t="s">
        <v>276</v>
      </c>
      <c r="D55" s="77" t="s">
        <v>279</v>
      </c>
    </row>
    <row r="57" spans="2:5" ht="19.5" thickBot="1">
      <c r="B57" s="93" t="s">
        <v>298</v>
      </c>
      <c r="C57" s="93"/>
      <c r="D57" s="93"/>
      <c r="E57" s="93"/>
    </row>
    <row r="58" spans="2:5" ht="14.25">
      <c r="B58" s="79" t="s">
        <v>292</v>
      </c>
      <c r="C58" s="64"/>
      <c r="D58" s="80" t="s">
        <v>290</v>
      </c>
      <c r="E58" s="69" t="s">
        <v>291</v>
      </c>
    </row>
    <row r="59" spans="2:5" ht="14.25">
      <c r="B59" s="61" t="s">
        <v>293</v>
      </c>
      <c r="C59" s="36"/>
      <c r="D59" s="78">
        <v>1.6</v>
      </c>
      <c r="E59" s="81">
        <v>1.65</v>
      </c>
    </row>
    <row r="60" spans="2:5" ht="14.25">
      <c r="B60" s="61" t="s">
        <v>294</v>
      </c>
      <c r="C60" s="36"/>
      <c r="D60" s="78">
        <v>1.6</v>
      </c>
      <c r="E60" s="81">
        <v>1.65</v>
      </c>
    </row>
    <row r="61" spans="2:5" ht="14.25">
      <c r="B61" s="61" t="s">
        <v>295</v>
      </c>
      <c r="C61" s="36"/>
      <c r="D61" s="78">
        <v>1.62</v>
      </c>
      <c r="E61" s="81">
        <v>1.67</v>
      </c>
    </row>
    <row r="62" spans="2:5" ht="14.25">
      <c r="B62" s="61" t="s">
        <v>296</v>
      </c>
      <c r="C62" s="36"/>
      <c r="D62" s="78">
        <v>1.65</v>
      </c>
      <c r="E62" s="81">
        <v>1.7</v>
      </c>
    </row>
    <row r="63" spans="2:5" ht="15" thickBot="1">
      <c r="B63" s="57" t="s">
        <v>297</v>
      </c>
      <c r="C63" s="40"/>
      <c r="D63" s="82">
        <v>1.7</v>
      </c>
      <c r="E63" s="83">
        <v>1.75</v>
      </c>
    </row>
    <row r="65" spans="2:4" ht="14.25">
      <c r="B65" s="93"/>
      <c r="C65" s="93"/>
      <c r="D65" s="93"/>
    </row>
    <row r="66" spans="2:4" ht="15" thickBot="1">
      <c r="B66" s="93" t="s">
        <v>365</v>
      </c>
      <c r="C66" s="93"/>
      <c r="D66" s="93"/>
    </row>
    <row r="67" spans="2:4" ht="14.25">
      <c r="B67" s="65" t="s">
        <v>333</v>
      </c>
      <c r="C67" s="43" t="s">
        <v>334</v>
      </c>
      <c r="D67" s="56" t="s">
        <v>335</v>
      </c>
    </row>
    <row r="68" spans="2:4" ht="14.25">
      <c r="B68" s="48">
        <v>8</v>
      </c>
      <c r="C68" s="44">
        <v>7</v>
      </c>
      <c r="D68" s="84">
        <v>1</v>
      </c>
    </row>
    <row r="69" spans="2:4" ht="14.25">
      <c r="B69" s="48">
        <v>10</v>
      </c>
      <c r="C69" s="44">
        <v>8.5</v>
      </c>
      <c r="D69" s="84">
        <v>0.98</v>
      </c>
    </row>
    <row r="70" spans="2:4" ht="14.25">
      <c r="B70" s="48">
        <v>12</v>
      </c>
      <c r="C70" s="44">
        <v>10.5</v>
      </c>
      <c r="D70" s="84">
        <v>0.95</v>
      </c>
    </row>
    <row r="71" spans="2:4" ht="14.25">
      <c r="B71" s="48">
        <v>14</v>
      </c>
      <c r="C71" s="44">
        <v>12</v>
      </c>
      <c r="D71" s="84">
        <v>0.92</v>
      </c>
    </row>
    <row r="72" spans="2:4" ht="14.25">
      <c r="B72" s="48">
        <v>16</v>
      </c>
      <c r="C72" s="44">
        <v>14</v>
      </c>
      <c r="D72" s="84">
        <v>0.87</v>
      </c>
    </row>
    <row r="73" spans="2:4" ht="14.25">
      <c r="B73" s="48">
        <v>18</v>
      </c>
      <c r="C73" s="44">
        <v>15.5</v>
      </c>
      <c r="D73" s="84">
        <v>0.81</v>
      </c>
    </row>
    <row r="74" spans="2:4" ht="14.25">
      <c r="B74" s="48">
        <v>20</v>
      </c>
      <c r="C74" s="44">
        <v>17</v>
      </c>
      <c r="D74" s="84">
        <v>0.75</v>
      </c>
    </row>
    <row r="75" spans="2:4" ht="14.25">
      <c r="B75" s="48">
        <v>22</v>
      </c>
      <c r="C75" s="44">
        <v>19</v>
      </c>
      <c r="D75" s="84">
        <v>0.7</v>
      </c>
    </row>
    <row r="76" spans="2:4" ht="14.25">
      <c r="B76" s="48">
        <v>24</v>
      </c>
      <c r="C76" s="44">
        <v>21</v>
      </c>
      <c r="D76" s="84">
        <v>0.65</v>
      </c>
    </row>
    <row r="77" spans="2:4" ht="14.25">
      <c r="B77" s="48">
        <v>26</v>
      </c>
      <c r="C77" s="44">
        <v>22.5</v>
      </c>
      <c r="D77" s="84">
        <v>0.6</v>
      </c>
    </row>
    <row r="78" spans="2:4" ht="14.25">
      <c r="B78" s="48">
        <v>28</v>
      </c>
      <c r="C78" s="44">
        <v>24</v>
      </c>
      <c r="D78" s="84">
        <v>0.56</v>
      </c>
    </row>
    <row r="79" spans="2:4" ht="14.25">
      <c r="B79" s="48">
        <v>30</v>
      </c>
      <c r="C79" s="44">
        <v>26</v>
      </c>
      <c r="D79" s="84">
        <v>0.52</v>
      </c>
    </row>
    <row r="80" spans="2:4" ht="14.25">
      <c r="B80" s="48">
        <v>32</v>
      </c>
      <c r="C80" s="44">
        <v>28</v>
      </c>
      <c r="D80" s="84">
        <v>0.48</v>
      </c>
    </row>
    <row r="81" spans="2:4" ht="14.25">
      <c r="B81" s="48">
        <v>34</v>
      </c>
      <c r="C81" s="44">
        <v>29.5</v>
      </c>
      <c r="D81" s="84">
        <v>0.44</v>
      </c>
    </row>
    <row r="82" spans="2:4" ht="14.25">
      <c r="B82" s="48">
        <v>36</v>
      </c>
      <c r="C82" s="44">
        <v>31</v>
      </c>
      <c r="D82" s="84">
        <v>0.4</v>
      </c>
    </row>
    <row r="83" spans="2:4" ht="14.25">
      <c r="B83" s="48">
        <v>38</v>
      </c>
      <c r="C83" s="44">
        <v>33</v>
      </c>
      <c r="D83" s="84">
        <v>0.36</v>
      </c>
    </row>
    <row r="84" spans="2:4" ht="14.25">
      <c r="B84" s="48">
        <v>40</v>
      </c>
      <c r="C84" s="44">
        <v>34.5</v>
      </c>
      <c r="D84" s="84">
        <v>0.32</v>
      </c>
    </row>
    <row r="85" spans="2:4" ht="14.25">
      <c r="B85" s="48">
        <v>42</v>
      </c>
      <c r="C85" s="44">
        <v>36.5</v>
      </c>
      <c r="D85" s="84">
        <v>0.29</v>
      </c>
    </row>
    <row r="86" spans="2:4" ht="14.25">
      <c r="B86" s="48">
        <v>44</v>
      </c>
      <c r="C86" s="44">
        <v>38</v>
      </c>
      <c r="D86" s="84">
        <v>0.26</v>
      </c>
    </row>
    <row r="87" spans="2:4" ht="14.25">
      <c r="B87" s="48">
        <v>46</v>
      </c>
      <c r="C87" s="44">
        <v>40</v>
      </c>
      <c r="D87" s="84">
        <v>0.23</v>
      </c>
    </row>
    <row r="88" spans="2:4" ht="14.25">
      <c r="B88" s="48">
        <v>48</v>
      </c>
      <c r="C88" s="44">
        <v>41.5</v>
      </c>
      <c r="D88" s="84">
        <v>0.21</v>
      </c>
    </row>
    <row r="89" spans="2:4" ht="15" thickBot="1">
      <c r="B89" s="66">
        <v>50</v>
      </c>
      <c r="C89" s="58">
        <v>43</v>
      </c>
      <c r="D89" s="85">
        <v>0.19</v>
      </c>
    </row>
  </sheetData>
  <sheetProtection/>
  <mergeCells count="57">
    <mergeCell ref="D26:E26"/>
    <mergeCell ref="D27:E27"/>
    <mergeCell ref="I18:L18"/>
    <mergeCell ref="D24:E24"/>
    <mergeCell ref="B23:E23"/>
    <mergeCell ref="D25:E25"/>
    <mergeCell ref="B14:C14"/>
    <mergeCell ref="I12:K12"/>
    <mergeCell ref="I13:I14"/>
    <mergeCell ref="B3:E3"/>
    <mergeCell ref="G5:G6"/>
    <mergeCell ref="B13:F13"/>
    <mergeCell ref="B12:G12"/>
    <mergeCell ref="B66:D66"/>
    <mergeCell ref="B65:D65"/>
    <mergeCell ref="B21:D21"/>
    <mergeCell ref="B17:E17"/>
    <mergeCell ref="B22:G22"/>
    <mergeCell ref="B24:C24"/>
    <mergeCell ref="B25:C25"/>
    <mergeCell ref="B18:E18"/>
    <mergeCell ref="B38:E38"/>
    <mergeCell ref="B30:C30"/>
    <mergeCell ref="B1:G1"/>
    <mergeCell ref="B9:E9"/>
    <mergeCell ref="B10:E10"/>
    <mergeCell ref="B11:E11"/>
    <mergeCell ref="C8:E8"/>
    <mergeCell ref="C5:E6"/>
    <mergeCell ref="F5:F6"/>
    <mergeCell ref="B4:E4"/>
    <mergeCell ref="B5:B6"/>
    <mergeCell ref="B2:E2"/>
    <mergeCell ref="B16:G16"/>
    <mergeCell ref="C7:E7"/>
    <mergeCell ref="B33:C33"/>
    <mergeCell ref="B26:C26"/>
    <mergeCell ref="B27:C27"/>
    <mergeCell ref="B28:C28"/>
    <mergeCell ref="B29:C29"/>
    <mergeCell ref="D30:E30"/>
    <mergeCell ref="D31:E31"/>
    <mergeCell ref="D32:E32"/>
    <mergeCell ref="D28:E28"/>
    <mergeCell ref="D29:E29"/>
    <mergeCell ref="B39:C39"/>
    <mergeCell ref="B51:E51"/>
    <mergeCell ref="B31:C31"/>
    <mergeCell ref="B32:C32"/>
    <mergeCell ref="B57:E57"/>
    <mergeCell ref="D33:E33"/>
    <mergeCell ref="D34:E34"/>
    <mergeCell ref="D35:E35"/>
    <mergeCell ref="D36:E36"/>
    <mergeCell ref="B34:C34"/>
    <mergeCell ref="B35:C35"/>
    <mergeCell ref="B36:C36"/>
  </mergeCells>
  <printOptions gridLines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2005-08-29T09:37:39Z</cp:lastPrinted>
  <dcterms:created xsi:type="dcterms:W3CDTF">2001-08-13T08:05:52Z</dcterms:created>
  <dcterms:modified xsi:type="dcterms:W3CDTF">2008-07-14T01:16:47Z</dcterms:modified>
  <cp:category/>
  <cp:version/>
  <cp:contentType/>
  <cp:contentStatus/>
</cp:coreProperties>
</file>