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8715" activeTab="0"/>
  </bookViews>
  <sheets>
    <sheet name="加固计算结果" sheetId="1" r:id="rId1"/>
    <sheet name="加固计算书" sheetId="2" r:id="rId2"/>
    <sheet name="混凝土与碳纤维材料技术参数" sheetId="3" r:id="rId3"/>
  </sheets>
  <externalReferences>
    <externalReference r:id="rId6"/>
  </externalReferences>
  <definedNames>
    <definedName name="fcm">'加固计算书'!$E$7</definedName>
    <definedName name="fy">'加固计算书'!$H$7</definedName>
    <definedName name="TB1宽">'加固计算书'!$B$5</definedName>
    <definedName name="步级高">'加固计算书'!$E$6</definedName>
    <definedName name="步级宽">'加固计算书'!$B$6</definedName>
    <definedName name="梁宽1">'加固计算书'!$E$5</definedName>
    <definedName name="梁宽2">'加固计算书'!$H$5</definedName>
    <definedName name="楼梯跨度">'加固计算书'!$E$4</definedName>
    <definedName name="楼梯宽">'加固计算书'!$H$4</definedName>
    <definedName name="平台宽">'加固计算书'!$B$4</definedName>
  </definedNames>
  <calcPr fullCalcOnLoad="1"/>
</workbook>
</file>

<file path=xl/sharedStrings.xml><?xml version="1.0" encoding="utf-8"?>
<sst xmlns="http://schemas.openxmlformats.org/spreadsheetml/2006/main" count="131" uniqueCount="122">
  <si>
    <t>(mm)</t>
  </si>
  <si>
    <t>C25</t>
  </si>
  <si>
    <t>C7.5</t>
  </si>
  <si>
    <t>轴心抗压</t>
  </si>
  <si>
    <t>弯曲抗压</t>
  </si>
  <si>
    <t>C10</t>
  </si>
  <si>
    <t>C15</t>
  </si>
  <si>
    <t>C20</t>
  </si>
  <si>
    <t>C30</t>
  </si>
  <si>
    <t>C35</t>
  </si>
  <si>
    <t>C40</t>
  </si>
  <si>
    <t>C45</t>
  </si>
  <si>
    <t>C50</t>
  </si>
  <si>
    <r>
      <t>f</t>
    </r>
    <r>
      <rPr>
        <vertAlign val="subscript"/>
        <sz val="10"/>
        <rFont val="Times New Roman"/>
        <family val="1"/>
      </rPr>
      <t>c</t>
    </r>
  </si>
  <si>
    <r>
      <t>f</t>
    </r>
    <r>
      <rPr>
        <vertAlign val="subscript"/>
        <sz val="10"/>
        <rFont val="Times New Roman"/>
        <family val="1"/>
      </rPr>
      <t>cm</t>
    </r>
  </si>
  <si>
    <r>
      <t>f</t>
    </r>
    <r>
      <rPr>
        <vertAlign val="subscript"/>
        <sz val="10"/>
        <rFont val="Times New Roman"/>
        <family val="1"/>
      </rPr>
      <t>t</t>
    </r>
  </si>
  <si>
    <r>
      <t>抗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拉</t>
    </r>
  </si>
  <si>
    <t>C55</t>
  </si>
  <si>
    <t>C60</t>
  </si>
  <si>
    <t>强度种类</t>
  </si>
  <si>
    <t>符号</t>
  </si>
  <si>
    <t>混凝土强度等级</t>
  </si>
  <si>
    <r>
      <t>混凝土强度设计值</t>
    </r>
    <r>
      <rPr>
        <sz val="12"/>
        <rFont val="Times New Roman"/>
        <family val="1"/>
      </rPr>
      <t>(N/mm2)</t>
    </r>
  </si>
  <si>
    <r>
      <t>截面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宽度</t>
    </r>
  </si>
  <si>
    <t>截面高度</t>
  </si>
  <si>
    <r>
      <t>碳纤维</t>
    </r>
    <r>
      <rPr>
        <sz val="12"/>
        <rFont val="宋体"/>
        <family val="0"/>
      </rPr>
      <t>类型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或</t>
    </r>
    <r>
      <rPr>
        <sz val="12"/>
        <rFont val="Times New Roman"/>
        <family val="1"/>
      </rPr>
      <t>3</t>
    </r>
  </si>
  <si>
    <r>
      <t>碳纤维厚度</t>
    </r>
    <r>
      <rPr>
        <sz val="12"/>
        <rFont val="Times New Roman"/>
        <family val="1"/>
      </rPr>
      <t xml:space="preserve">   tcf</t>
    </r>
  </si>
  <si>
    <r>
      <t>碳纤维弹模</t>
    </r>
    <r>
      <rPr>
        <sz val="12"/>
        <rFont val="Times New Roman"/>
        <family val="1"/>
      </rPr>
      <t xml:space="preserve"> Ecf</t>
    </r>
  </si>
  <si>
    <r>
      <t>碳纤维极限</t>
    </r>
    <r>
      <rPr>
        <sz val="12"/>
        <rFont val="宋体"/>
        <family val="0"/>
      </rPr>
      <t>应变</t>
    </r>
    <r>
      <rPr>
        <sz val="12"/>
        <rFont val="Times New Roman"/>
        <family val="1"/>
      </rPr>
      <t>cfu</t>
    </r>
  </si>
  <si>
    <r>
      <t>混凝土受压区高度</t>
    </r>
    <r>
      <rPr>
        <sz val="12"/>
        <rFont val="Times New Roman"/>
        <family val="1"/>
      </rPr>
      <t>x2</t>
    </r>
  </si>
  <si>
    <t>碳纤维厚度折减系数</t>
  </si>
  <si>
    <t>计算相对受压区高度</t>
  </si>
  <si>
    <r>
      <t>ε</t>
    </r>
    <r>
      <rPr>
        <sz val="12"/>
        <color indexed="10"/>
        <rFont val="Times New Roman"/>
        <family val="1"/>
      </rPr>
      <t>cu</t>
    </r>
    <r>
      <rPr>
        <sz val="12"/>
        <color indexed="10"/>
        <rFont val="宋体"/>
        <family val="0"/>
      </rPr>
      <t>＋ε</t>
    </r>
    <r>
      <rPr>
        <sz val="12"/>
        <color indexed="10"/>
        <rFont val="Times New Roman"/>
        <family val="1"/>
      </rPr>
      <t>i</t>
    </r>
  </si>
  <si>
    <r>
      <t>混凝土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抗压强度</t>
    </r>
  </si>
  <si>
    <t>计算碳纤维允许拉应变</t>
  </si>
  <si>
    <t>计算公式</t>
  </si>
  <si>
    <r>
      <t>碳纤维</t>
    </r>
    <r>
      <rPr>
        <sz val="12"/>
        <rFont val="宋体"/>
        <family val="0"/>
      </rPr>
      <t>拉应变</t>
    </r>
    <r>
      <rPr>
        <sz val="12"/>
        <rFont val="宋体"/>
        <family val="0"/>
      </rPr>
      <t>ε</t>
    </r>
    <r>
      <rPr>
        <sz val="12"/>
        <rFont val="Times New Roman"/>
        <family val="1"/>
      </rPr>
      <t>cf2</t>
    </r>
  </si>
  <si>
    <t>fyAs-fy'As'</t>
  </si>
  <si>
    <t>Ecf Acf</t>
  </si>
  <si>
    <t>fcb</t>
  </si>
  <si>
    <r>
      <t>中间变量</t>
    </r>
    <r>
      <rPr>
        <sz val="12"/>
        <color indexed="10"/>
        <rFont val="宋体"/>
        <family val="0"/>
      </rPr>
      <t>混凝土抗拉强度</t>
    </r>
  </si>
  <si>
    <t>中间变量混凝土抗压强度</t>
  </si>
  <si>
    <r>
      <t>混凝土受压区高度</t>
    </r>
    <r>
      <rPr>
        <sz val="12"/>
        <rFont val="Times New Roman"/>
        <family val="1"/>
      </rPr>
      <t>x</t>
    </r>
  </si>
  <si>
    <t>截面有效高度</t>
  </si>
  <si>
    <t>混凝土抗拉强度标准值</t>
  </si>
  <si>
    <t>受压翼缘宽度</t>
  </si>
  <si>
    <t>受压翼缘高度</t>
  </si>
  <si>
    <t>截面受拉边沿混凝土初始应变</t>
  </si>
  <si>
    <r>
      <t>受拉钢筋</t>
    </r>
    <r>
      <rPr>
        <sz val="12"/>
        <color indexed="14"/>
        <rFont val="Times New Roman"/>
        <family val="1"/>
      </rPr>
      <t xml:space="preserve">       </t>
    </r>
    <r>
      <rPr>
        <sz val="12"/>
        <color indexed="14"/>
        <rFont val="宋体"/>
        <family val="0"/>
      </rPr>
      <t>初始拉应变</t>
    </r>
  </si>
  <si>
    <r>
      <t>受拉钢筋</t>
    </r>
    <r>
      <rPr>
        <sz val="12"/>
        <color indexed="14"/>
        <rFont val="Times New Roman"/>
        <family val="1"/>
      </rPr>
      <t xml:space="preserve">  </t>
    </r>
    <r>
      <rPr>
        <sz val="12"/>
        <color indexed="14"/>
        <rFont val="宋体"/>
        <family val="0"/>
      </rPr>
      <t>初始拉应力</t>
    </r>
  </si>
  <si>
    <t>受压混凝土拉应变综合系数</t>
  </si>
  <si>
    <t>受拉钢筋拉应变不均匀系数</t>
  </si>
  <si>
    <t>受压翼缘加强系数</t>
  </si>
  <si>
    <t>钢筋与混凝土弹模之比</t>
  </si>
  <si>
    <r>
      <t>受压钢筋边沿距</t>
    </r>
    <r>
      <rPr>
        <sz val="12"/>
        <rFont val="Times New Roman"/>
        <family val="1"/>
      </rPr>
      <t>a'</t>
    </r>
  </si>
  <si>
    <t>原始数据输入区</t>
  </si>
  <si>
    <t>结论区</t>
  </si>
  <si>
    <r>
      <t>混凝土</t>
    </r>
    <r>
      <rPr>
        <sz val="12"/>
        <color indexed="14"/>
        <rFont val="Times New Roman"/>
        <family val="1"/>
      </rPr>
      <t xml:space="preserve">    </t>
    </r>
    <r>
      <rPr>
        <sz val="12"/>
        <color indexed="14"/>
        <rFont val="宋体"/>
        <family val="0"/>
      </rPr>
      <t>弹性模量</t>
    </r>
  </si>
  <si>
    <r>
      <t>钢筋</t>
    </r>
    <r>
      <rPr>
        <sz val="12"/>
        <color indexed="14"/>
        <rFont val="Times New Roman"/>
        <family val="1"/>
      </rPr>
      <t xml:space="preserve">        </t>
    </r>
    <r>
      <rPr>
        <sz val="12"/>
        <color indexed="14"/>
        <rFont val="宋体"/>
        <family val="0"/>
      </rPr>
      <t>弹性模量</t>
    </r>
  </si>
  <si>
    <r>
      <t>混凝土</t>
    </r>
    <r>
      <rPr>
        <sz val="12"/>
        <color indexed="14"/>
        <rFont val="Times New Roman"/>
        <family val="1"/>
      </rPr>
      <t xml:space="preserve">       </t>
    </r>
    <r>
      <rPr>
        <sz val="12"/>
        <color indexed="14"/>
        <rFont val="宋体"/>
        <family val="0"/>
      </rPr>
      <t>初始拉应变</t>
    </r>
  </si>
  <si>
    <r>
      <t>有效</t>
    </r>
    <r>
      <rPr>
        <sz val="12"/>
        <color indexed="14"/>
        <rFont val="Times New Roman"/>
        <family val="1"/>
      </rPr>
      <t xml:space="preserve">   </t>
    </r>
    <r>
      <rPr>
        <sz val="12"/>
        <color indexed="14"/>
        <rFont val="宋体"/>
        <family val="0"/>
      </rPr>
      <t>配筋率</t>
    </r>
  </si>
  <si>
    <t>中间变量混凝土弹性模量</t>
  </si>
  <si>
    <t>受拉钢筋配筋率</t>
  </si>
  <si>
    <r>
      <t xml:space="preserve">      </t>
    </r>
    <r>
      <rPr>
        <b/>
        <sz val="16"/>
        <color indexed="10"/>
        <rFont val="Times New Roman"/>
        <family val="1"/>
      </rPr>
      <t xml:space="preserve">      </t>
    </r>
    <r>
      <rPr>
        <b/>
        <sz val="16"/>
        <color indexed="10"/>
        <rFont val="宋体"/>
        <family val="0"/>
      </rPr>
      <t>数据输入区</t>
    </r>
  </si>
  <si>
    <r>
      <t>加固后</t>
    </r>
    <r>
      <rPr>
        <sz val="12"/>
        <rFont val="宋体"/>
        <family val="0"/>
      </rPr>
      <t>弯矩值</t>
    </r>
    <r>
      <rPr>
        <sz val="12"/>
        <rFont val="Times New Roman"/>
        <family val="1"/>
      </rPr>
      <t>(Kn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M)</t>
    </r>
  </si>
  <si>
    <r>
      <t>初始弯矩</t>
    </r>
    <r>
      <rPr>
        <sz val="12"/>
        <rFont val="Times New Roman"/>
        <family val="1"/>
      </rPr>
      <t>(Kn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M)</t>
    </r>
  </si>
  <si>
    <r>
      <t>考虑二次受力</t>
    </r>
    <r>
      <rPr>
        <sz val="12"/>
        <rFont val="Times New Roman"/>
        <family val="1"/>
      </rPr>
      <t xml:space="preserve"> 1</t>
    </r>
    <r>
      <rPr>
        <sz val="12"/>
        <rFont val="宋体"/>
        <family val="0"/>
      </rPr>
      <t>否则取</t>
    </r>
    <r>
      <rPr>
        <sz val="12"/>
        <rFont val="Times New Roman"/>
        <family val="1"/>
      </rPr>
      <t>0</t>
    </r>
  </si>
  <si>
    <r>
      <t>碳纤维材料类型</t>
    </r>
  </si>
  <si>
    <t>1碳纤维布</t>
  </si>
  <si>
    <r>
      <t>2</t>
    </r>
    <r>
      <rPr>
        <sz val="12"/>
        <color indexed="8"/>
        <rFont val="宋体"/>
        <family val="0"/>
      </rPr>
      <t>碳纤维布</t>
    </r>
  </si>
  <si>
    <r>
      <t>3</t>
    </r>
    <r>
      <rPr>
        <sz val="12"/>
        <color indexed="8"/>
        <rFont val="宋体"/>
        <family val="0"/>
      </rPr>
      <t>碳纤维板</t>
    </r>
  </si>
  <si>
    <r>
      <t>碳纤维材料厚度</t>
    </r>
    <r>
      <rPr>
        <sz val="12"/>
        <rFont val="Times New Roman"/>
        <family val="1"/>
      </rPr>
      <t xml:space="preserve">  </t>
    </r>
  </si>
  <si>
    <r>
      <t>碳纤维材料弹模</t>
    </r>
    <r>
      <rPr>
        <sz val="12"/>
        <rFont val="Times New Roman"/>
        <family val="1"/>
      </rPr>
      <t xml:space="preserve"> </t>
    </r>
  </si>
  <si>
    <t>碳纤维材料极限应变</t>
  </si>
  <si>
    <t>除有说明外，长度宽度均为毫米，面积为平方毫米。</t>
  </si>
  <si>
    <r>
      <t xml:space="preserve">     </t>
    </r>
    <r>
      <rPr>
        <sz val="14"/>
        <color indexed="14"/>
        <rFont val="宋体"/>
        <family val="0"/>
      </rPr>
      <t>说明：</t>
    </r>
    <r>
      <rPr>
        <sz val="14"/>
        <color indexed="14"/>
        <rFont val="Times New Roman"/>
        <family val="1"/>
      </rPr>
      <t xml:space="preserve">  1</t>
    </r>
    <r>
      <rPr>
        <sz val="14"/>
        <color indexed="14"/>
        <rFont val="宋体"/>
        <family val="0"/>
      </rPr>
      <t>、表中计算采用单位，</t>
    </r>
  </si>
  <si>
    <r>
      <t>2</t>
    </r>
    <r>
      <rPr>
        <sz val="14"/>
        <color indexed="14"/>
        <rFont val="宋体"/>
        <family val="0"/>
      </rPr>
      <t>、碳纤维材料选择类型见“混凝土与碳纤维材料技术参数。</t>
    </r>
  </si>
  <si>
    <r>
      <t>3</t>
    </r>
    <r>
      <rPr>
        <sz val="14"/>
        <color indexed="14"/>
        <rFont val="宋体"/>
        <family val="0"/>
      </rPr>
      <t>、使用时请不要修改非数据输入部分数据。</t>
    </r>
  </si>
  <si>
    <r>
      <t>4</t>
    </r>
    <r>
      <rPr>
        <sz val="14"/>
        <color indexed="14"/>
        <rFont val="宋体"/>
        <family val="0"/>
      </rPr>
      <t>、计算依据《碳纤维片材加固修复混凝土结构技术规程》（报批稿）</t>
    </r>
  </si>
  <si>
    <t>中间变量区（请勿修改）</t>
  </si>
  <si>
    <t>二次受力计算结果（请勿修改）</t>
  </si>
  <si>
    <r>
      <t>碳纤维片材－梁抗弯加固的设计</t>
    </r>
    <r>
      <rPr>
        <sz val="12"/>
        <rFont val="Times New Roman"/>
        <family val="1"/>
      </rPr>
      <t>:</t>
    </r>
  </si>
  <si>
    <t>梁号：</t>
  </si>
  <si>
    <t>a'=</t>
  </si>
  <si>
    <t>b=</t>
  </si>
  <si>
    <t>h=</t>
  </si>
  <si>
    <t>=</t>
  </si>
  <si>
    <r>
      <t>(1)</t>
    </r>
    <r>
      <rPr>
        <sz val="12"/>
        <rFont val="宋体"/>
        <family val="0"/>
      </rPr>
      <t>已知条件：</t>
    </r>
  </si>
  <si>
    <r>
      <t>(2)</t>
    </r>
    <r>
      <rPr>
        <sz val="12"/>
        <rFont val="宋体"/>
        <family val="0"/>
      </rPr>
      <t>碳纤维材料性能</t>
    </r>
  </si>
  <si>
    <r>
      <t>b</t>
    </r>
    <r>
      <rPr>
        <vertAlign val="subscript"/>
        <sz val="12"/>
        <rFont val="Times New Roman"/>
        <family val="1"/>
      </rPr>
      <t xml:space="preserve">f </t>
    </r>
    <r>
      <rPr>
        <sz val="12"/>
        <rFont val="Times New Roman"/>
        <family val="1"/>
      </rPr>
      <t>'=</t>
    </r>
  </si>
  <si>
    <r>
      <t>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</t>
    </r>
  </si>
  <si>
    <r>
      <t>h</t>
    </r>
    <r>
      <rPr>
        <vertAlign val="subscript"/>
        <sz val="12"/>
        <rFont val="Times New Roman"/>
        <family val="1"/>
      </rPr>
      <t xml:space="preserve">f </t>
    </r>
    <r>
      <rPr>
        <sz val="12"/>
        <rFont val="Times New Roman"/>
        <family val="1"/>
      </rPr>
      <t>'=</t>
    </r>
  </si>
  <si>
    <r>
      <t>A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=</t>
    </r>
  </si>
  <si>
    <r>
      <t>(mm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</si>
  <si>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A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'=</t>
    </r>
  </si>
  <si>
    <r>
      <t>ε</t>
    </r>
    <r>
      <rPr>
        <vertAlign val="subscript"/>
        <sz val="12"/>
        <rFont val="Times New Roman"/>
        <family val="1"/>
      </rPr>
      <t>cu=</t>
    </r>
  </si>
  <si>
    <t>砼标号</t>
  </si>
  <si>
    <r>
      <t>f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>=</t>
    </r>
  </si>
  <si>
    <r>
      <t>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</si>
  <si>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f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=</t>
    </r>
  </si>
  <si>
    <r>
      <t>E</t>
    </r>
    <r>
      <rPr>
        <vertAlign val="subscript"/>
        <sz val="12"/>
        <rFont val="Times New Roman"/>
        <family val="1"/>
      </rPr>
      <t>cf</t>
    </r>
    <r>
      <rPr>
        <sz val="12"/>
        <rFont val="Times New Roman"/>
        <family val="1"/>
      </rPr>
      <t>=</t>
    </r>
  </si>
  <si>
    <r>
      <t>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</si>
  <si>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t</t>
    </r>
    <r>
      <rPr>
        <vertAlign val="subscript"/>
        <sz val="12"/>
        <rFont val="Times New Roman"/>
        <family val="1"/>
      </rPr>
      <t>cf</t>
    </r>
    <r>
      <rPr>
        <sz val="12"/>
        <rFont val="Times New Roman"/>
        <family val="1"/>
      </rPr>
      <t>=</t>
    </r>
  </si>
  <si>
    <r>
      <t>ε</t>
    </r>
    <r>
      <rPr>
        <vertAlign val="subscript"/>
        <sz val="12"/>
        <rFont val="Times New Roman"/>
        <family val="1"/>
      </rPr>
      <t>cuf=</t>
    </r>
  </si>
  <si>
    <r>
      <t>b</t>
    </r>
    <r>
      <rPr>
        <vertAlign val="subscript"/>
        <sz val="12"/>
        <rFont val="Times New Roman"/>
        <family val="1"/>
      </rPr>
      <t>cf</t>
    </r>
    <r>
      <rPr>
        <sz val="12"/>
        <rFont val="Times New Roman"/>
        <family val="1"/>
      </rPr>
      <t>=</t>
    </r>
  </si>
  <si>
    <r>
      <t>n</t>
    </r>
    <r>
      <rPr>
        <vertAlign val="subscript"/>
        <sz val="12"/>
        <rFont val="Times New Roman"/>
        <family val="1"/>
      </rPr>
      <t>cf</t>
    </r>
    <r>
      <rPr>
        <sz val="12"/>
        <rFont val="Times New Roman"/>
        <family val="1"/>
      </rPr>
      <t>=</t>
    </r>
  </si>
  <si>
    <r>
      <t>f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>bx=f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s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’A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’+E</t>
    </r>
    <r>
      <rPr>
        <vertAlign val="subscript"/>
        <sz val="12"/>
        <rFont val="Times New Roman"/>
        <family val="1"/>
      </rPr>
      <t>cf</t>
    </r>
    <r>
      <rPr>
        <b/>
        <sz val="12"/>
        <rFont val="宋体"/>
        <family val="0"/>
      </rPr>
      <t>ε</t>
    </r>
    <r>
      <rPr>
        <vertAlign val="subscript"/>
        <sz val="12"/>
        <rFont val="Times New Roman"/>
        <family val="1"/>
      </rPr>
      <t>cf</t>
    </r>
    <r>
      <rPr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cf</t>
    </r>
  </si>
  <si>
    <r>
      <t>x=0.8h</t>
    </r>
    <r>
      <rPr>
        <sz val="12"/>
        <rFont val="宋体"/>
        <family val="0"/>
      </rPr>
      <t>ε</t>
    </r>
    <r>
      <rPr>
        <vertAlign val="subscript"/>
        <sz val="12"/>
        <rFont val="Times New Roman"/>
        <family val="1"/>
      </rPr>
      <t>cu</t>
    </r>
    <r>
      <rPr>
        <sz val="12"/>
        <rFont val="Times New Roman"/>
        <family val="1"/>
      </rPr>
      <t>/(</t>
    </r>
    <r>
      <rPr>
        <sz val="12"/>
        <rFont val="宋体"/>
        <family val="0"/>
      </rPr>
      <t>ε</t>
    </r>
    <r>
      <rPr>
        <vertAlign val="subscript"/>
        <sz val="12"/>
        <rFont val="Times New Roman"/>
        <family val="1"/>
      </rPr>
      <t>cu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ε</t>
    </r>
    <r>
      <rPr>
        <vertAlign val="subscript"/>
        <sz val="12"/>
        <rFont val="Times New Roman"/>
        <family val="1"/>
      </rPr>
      <t>cf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ε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)</t>
    </r>
  </si>
  <si>
    <t>x=</t>
  </si>
  <si>
    <t>(Kn-m)</t>
  </si>
  <si>
    <r>
      <t>(3)</t>
    </r>
    <r>
      <rPr>
        <sz val="12"/>
        <rFont val="宋体"/>
        <family val="0"/>
      </rPr>
      <t>采用碳纤维材料尺寸</t>
    </r>
  </si>
  <si>
    <r>
      <t xml:space="preserve">                                k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>=1-n</t>
    </r>
    <r>
      <rPr>
        <vertAlign val="subscript"/>
        <sz val="12"/>
        <rFont val="Times New Roman"/>
        <family val="1"/>
      </rPr>
      <t>cf</t>
    </r>
    <r>
      <rPr>
        <sz val="12"/>
        <rFont val="Times New Roman"/>
        <family val="1"/>
      </rPr>
      <t>E</t>
    </r>
    <r>
      <rPr>
        <vertAlign val="subscript"/>
        <sz val="12"/>
        <rFont val="Times New Roman"/>
        <family val="1"/>
      </rPr>
      <t>cf</t>
    </r>
    <r>
      <rPr>
        <sz val="12"/>
        <rFont val="Times New Roman"/>
        <family val="1"/>
      </rPr>
      <t>t</t>
    </r>
    <r>
      <rPr>
        <vertAlign val="subscript"/>
        <sz val="12"/>
        <rFont val="Times New Roman"/>
        <family val="1"/>
      </rPr>
      <t>cf</t>
    </r>
    <r>
      <rPr>
        <sz val="12"/>
        <rFont val="Times New Roman"/>
        <family val="1"/>
      </rPr>
      <t>/42000=</t>
    </r>
  </si>
  <si>
    <r>
      <t>[</t>
    </r>
    <r>
      <rPr>
        <sz val="12"/>
        <rFont val="宋体"/>
        <family val="0"/>
      </rPr>
      <t>ε</t>
    </r>
    <r>
      <rPr>
        <vertAlign val="subscript"/>
        <sz val="12"/>
        <rFont val="Times New Roman"/>
        <family val="1"/>
      </rPr>
      <t>cf</t>
    </r>
    <r>
      <rPr>
        <sz val="12"/>
        <rFont val="Times New Roman"/>
        <family val="1"/>
      </rPr>
      <t>]= k</t>
    </r>
    <r>
      <rPr>
        <vertAlign val="subscript"/>
        <sz val="12"/>
        <rFont val="Times New Roman"/>
        <family val="1"/>
      </rPr>
      <t>m</t>
    </r>
    <r>
      <rPr>
        <sz val="12"/>
        <rFont val="宋体"/>
        <family val="0"/>
      </rPr>
      <t>ε</t>
    </r>
    <r>
      <rPr>
        <vertAlign val="subscript"/>
        <sz val="12"/>
        <rFont val="Times New Roman"/>
        <family val="1"/>
      </rPr>
      <t>cfu</t>
    </r>
    <r>
      <rPr>
        <sz val="12"/>
        <rFont val="Times New Roman"/>
        <family val="1"/>
      </rPr>
      <t>=</t>
    </r>
  </si>
  <si>
    <r>
      <t>5</t>
    </r>
    <r>
      <rPr>
        <sz val="14"/>
        <color indexed="14"/>
        <rFont val="宋体"/>
        <family val="0"/>
      </rPr>
      <t>、加固计算书按照规范要求，以混凝土受压区高度来判断采用的计算公式。</t>
    </r>
  </si>
  <si>
    <r>
      <t>(4)</t>
    </r>
    <r>
      <rPr>
        <sz val="12"/>
        <rFont val="宋体"/>
        <family val="0"/>
      </rPr>
      <t>按规范</t>
    </r>
    <r>
      <rPr>
        <sz val="12"/>
        <rFont val="Times New Roman"/>
        <family val="1"/>
      </rPr>
      <t xml:space="preserve">4.3.2-2  4.3.2-3 </t>
    </r>
    <r>
      <rPr>
        <sz val="12"/>
        <rFont val="宋体"/>
        <family val="0"/>
      </rPr>
      <t>式先求出</t>
    </r>
    <r>
      <rPr>
        <sz val="12"/>
        <rFont val="Times New Roman"/>
        <family val="1"/>
      </rPr>
      <t>x</t>
    </r>
    <r>
      <rPr>
        <sz val="12"/>
        <rFont val="宋体"/>
        <family val="0"/>
      </rPr>
      <t>值</t>
    </r>
  </si>
  <si>
    <r>
      <t>碳纤维宽度</t>
    </r>
    <r>
      <rPr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cf</t>
    </r>
  </si>
  <si>
    <r>
      <t>碳纤维拉应变ε</t>
    </r>
    <r>
      <rPr>
        <vertAlign val="subscript"/>
        <sz val="12"/>
        <rFont val="Times New Roman"/>
        <family val="1"/>
      </rPr>
      <t>cf</t>
    </r>
  </si>
  <si>
    <r>
      <t>截面受拉边沿混凝土初始应变ε</t>
    </r>
    <r>
      <rPr>
        <vertAlign val="subscript"/>
        <sz val="12"/>
        <rFont val="Times New Roman"/>
        <family val="1"/>
      </rPr>
      <t>i</t>
    </r>
  </si>
  <si>
    <r>
      <t>碳纤维层数</t>
    </r>
    <r>
      <rPr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>cf</t>
    </r>
  </si>
  <si>
    <r>
      <t>混凝土标号</t>
    </r>
    <r>
      <rPr>
        <sz val="12"/>
        <rFont val="Times New Roman"/>
        <family val="1"/>
      </rPr>
      <t xml:space="preserve">  C15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C60</t>
    </r>
  </si>
  <si>
    <r>
      <t>受压钢筋面积</t>
    </r>
    <r>
      <rPr>
        <sz val="12"/>
        <rFont val="Times New Roman"/>
        <family val="1"/>
      </rPr>
      <t xml:space="preserve"> A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'</t>
    </r>
  </si>
  <si>
    <r>
      <t>受拉钢筋面积</t>
    </r>
    <r>
      <rPr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s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</si>
</sst>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"/>
    <numFmt numFmtId="179" formatCode="0.00000"/>
    <numFmt numFmtId="180" formatCode="0.0"/>
    <numFmt numFmtId="181" formatCode="0.0E+00;\ĝ"/>
    <numFmt numFmtId="182" formatCode="0.0E+00;\᪈"/>
    <numFmt numFmtId="183" formatCode="0.00E+00;\᪈"/>
    <numFmt numFmtId="184" formatCode="0E+00;\᪈"/>
    <numFmt numFmtId="185" formatCode="0.000_);[Red]\(0.000\)"/>
    <numFmt numFmtId="186" formatCode="0.00_);[Red]\(0.00\)"/>
  </numFmts>
  <fonts count="3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2"/>
      <color indexed="14"/>
      <name val="宋体"/>
      <family val="0"/>
    </font>
    <font>
      <sz val="12"/>
      <color indexed="14"/>
      <name val="Times New Roman"/>
      <family val="1"/>
    </font>
    <font>
      <b/>
      <sz val="12"/>
      <color indexed="12"/>
      <name val="宋体"/>
      <family val="0"/>
    </font>
    <font>
      <b/>
      <sz val="12"/>
      <color indexed="20"/>
      <name val="宋体"/>
      <family val="0"/>
    </font>
    <font>
      <b/>
      <sz val="16"/>
      <color indexed="20"/>
      <name val="宋体"/>
      <family val="0"/>
    </font>
    <font>
      <b/>
      <sz val="12"/>
      <color indexed="10"/>
      <name val="宋体"/>
      <family val="0"/>
    </font>
    <font>
      <sz val="16"/>
      <name val="楷体_GB2312"/>
      <family val="3"/>
    </font>
    <font>
      <b/>
      <sz val="16"/>
      <name val="楷体_GB2312"/>
      <family val="3"/>
    </font>
    <font>
      <sz val="12"/>
      <color indexed="8"/>
      <name val="宋体"/>
      <family val="0"/>
    </font>
    <font>
      <b/>
      <sz val="16"/>
      <color indexed="14"/>
      <name val="宋体"/>
      <family val="0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宋体"/>
      <family val="0"/>
    </font>
    <font>
      <b/>
      <sz val="16"/>
      <color indexed="10"/>
      <name val="Times New Roman"/>
      <family val="1"/>
    </font>
    <font>
      <sz val="14"/>
      <color indexed="14"/>
      <name val="Times New Roman"/>
      <family val="1"/>
    </font>
    <font>
      <sz val="14"/>
      <color indexed="14"/>
      <name val="宋体"/>
      <family val="0"/>
    </font>
    <font>
      <b/>
      <sz val="16"/>
      <color indexed="53"/>
      <name val="宋体"/>
      <family val="0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Dashed"/>
      <right style="mediumDashed"/>
      <top style="thick"/>
      <bottom style="mediumDashed"/>
    </border>
    <border>
      <left style="mediumDashed"/>
      <right style="mediumDashDot"/>
      <top style="thick"/>
      <bottom style="mediumDashed"/>
    </border>
    <border>
      <left style="mediumDashed"/>
      <right style="mediumDashed"/>
      <top style="mediumDashed"/>
      <bottom style="mediumDashDot"/>
    </border>
    <border>
      <left style="mediumDashed"/>
      <right style="mediumDashDot"/>
      <top style="mediumDashed"/>
      <bottom style="mediumDashDot"/>
    </border>
    <border>
      <left>
        <color indexed="63"/>
      </left>
      <right style="mediumDashed"/>
      <top style="mediumDashed"/>
      <bottom style="mediumDashDot"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thick"/>
      <right style="thick"/>
      <top style="mediumDashDot"/>
      <bottom style="mediumDashDot"/>
    </border>
    <border>
      <left style="thick"/>
      <right style="thick"/>
      <top style="mediumDashDot"/>
      <bottom style="thick"/>
    </border>
    <border>
      <left style="thick"/>
      <right>
        <color indexed="63"/>
      </right>
      <top style="thick"/>
      <bottom style="mediumDashDot"/>
    </border>
    <border>
      <left>
        <color indexed="63"/>
      </left>
      <right>
        <color indexed="63"/>
      </right>
      <top style="thick"/>
      <bottom style="mediumDashDot"/>
    </border>
    <border>
      <left>
        <color indexed="63"/>
      </left>
      <right style="thick"/>
      <top style="thick"/>
      <bottom style="mediumDashDot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 style="medium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mediumDashDotDot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"/>
      <right>
        <color indexed="63"/>
      </right>
      <top style="thick"/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49" fontId="17" fillId="4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/>
    </xf>
    <xf numFmtId="0" fontId="25" fillId="0" borderId="7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177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86" fontId="11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2" borderId="46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0899;&#32420;&#32500;&#21152;&#22266;&#35745;&#31639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workbookViewId="0" topLeftCell="A1">
      <selection activeCell="P5" sqref="P5"/>
    </sheetView>
  </sheetViews>
  <sheetFormatPr defaultColWidth="9.00390625" defaultRowHeight="19.5" customHeight="1"/>
  <cols>
    <col min="1" max="1" width="11.625" style="7" customWidth="1"/>
    <col min="2" max="2" width="9.75390625" style="7" customWidth="1"/>
    <col min="3" max="3" width="4.875" style="7" customWidth="1"/>
    <col min="4" max="4" width="4.625" style="7" customWidth="1"/>
    <col min="5" max="5" width="6.625" style="7" customWidth="1"/>
    <col min="6" max="6" width="9.125" style="7" customWidth="1"/>
    <col min="7" max="7" width="8.625" style="7" customWidth="1"/>
    <col min="8" max="8" width="9.375" style="7" customWidth="1"/>
    <col min="9" max="9" width="11.00390625" style="7" customWidth="1"/>
    <col min="10" max="10" width="8.00390625" style="7" hidden="1" customWidth="1"/>
    <col min="11" max="11" width="11.25390625" style="7" customWidth="1"/>
    <col min="12" max="12" width="10.875" style="7" customWidth="1"/>
    <col min="13" max="13" width="4.375" style="7" hidden="1" customWidth="1"/>
    <col min="14" max="14" width="7.00390625" style="7" hidden="1" customWidth="1"/>
    <col min="15" max="15" width="14.00390625" style="7" hidden="1" customWidth="1"/>
    <col min="16" max="17" width="8.25390625" style="7" customWidth="1"/>
    <col min="18" max="18" width="9.50390625" style="7" hidden="1" customWidth="1"/>
    <col min="19" max="19" width="0.12890625" style="7" hidden="1" customWidth="1"/>
    <col min="20" max="20" width="11.00390625" style="7" hidden="1" customWidth="1"/>
    <col min="21" max="21" width="0.12890625" style="7" hidden="1" customWidth="1"/>
    <col min="22" max="22" width="6.00390625" style="7" customWidth="1"/>
    <col min="23" max="23" width="6.50390625" style="7" hidden="1" customWidth="1"/>
    <col min="24" max="24" width="9.25390625" style="7" hidden="1" customWidth="1"/>
    <col min="25" max="25" width="5.25390625" style="7" hidden="1" customWidth="1"/>
    <col min="26" max="26" width="8.00390625" style="7" hidden="1" customWidth="1"/>
    <col min="27" max="27" width="6.50390625" style="7" hidden="1" customWidth="1"/>
    <col min="28" max="28" width="5.25390625" style="7" hidden="1" customWidth="1"/>
    <col min="29" max="30" width="7.25390625" style="7" hidden="1" customWidth="1"/>
    <col min="31" max="31" width="7.625" style="7" hidden="1" customWidth="1"/>
    <col min="32" max="32" width="4.25390625" style="7" hidden="1" customWidth="1"/>
    <col min="33" max="33" width="7.375" style="7" hidden="1" customWidth="1"/>
    <col min="34" max="34" width="9.75390625" style="7" customWidth="1"/>
    <col min="35" max="35" width="9.375" style="7" customWidth="1"/>
    <col min="36" max="36" width="14.75390625" style="7" hidden="1" customWidth="1"/>
    <col min="37" max="37" width="11.25390625" style="7" hidden="1" customWidth="1"/>
    <col min="38" max="38" width="9.50390625" style="7" hidden="1" customWidth="1"/>
    <col min="39" max="39" width="9.375" style="7" hidden="1" customWidth="1"/>
    <col min="40" max="40" width="11.50390625" style="7" hidden="1" customWidth="1"/>
    <col min="41" max="41" width="11.00390625" style="7" hidden="1" customWidth="1"/>
    <col min="42" max="42" width="0.74609375" style="7" hidden="1" customWidth="1"/>
    <col min="43" max="43" width="13.50390625" style="7" hidden="1" customWidth="1"/>
    <col min="44" max="44" width="13.625" style="7" hidden="1" customWidth="1"/>
    <col min="45" max="45" width="9.00390625" style="7" hidden="1" customWidth="1"/>
    <col min="46" max="46" width="11.75390625" style="7" hidden="1" customWidth="1"/>
    <col min="47" max="47" width="8.625" style="7" hidden="1" customWidth="1"/>
    <col min="48" max="48" width="7.25390625" style="7" hidden="1" customWidth="1"/>
    <col min="49" max="16384" width="9.00390625" style="7" customWidth="1"/>
  </cols>
  <sheetData>
    <row r="1" spans="1:49" ht="19.5" customHeight="1" thickBot="1" thickTop="1">
      <c r="A1" s="26" t="s">
        <v>56</v>
      </c>
      <c r="B1" s="22"/>
      <c r="C1" s="23"/>
      <c r="D1" s="23"/>
      <c r="E1" s="23"/>
      <c r="F1" s="23"/>
      <c r="G1" s="23"/>
      <c r="H1" s="111"/>
      <c r="I1" s="112" t="s">
        <v>55</v>
      </c>
      <c r="J1" s="111"/>
      <c r="K1" s="111"/>
      <c r="L1" s="23"/>
      <c r="M1" s="23"/>
      <c r="N1" s="23"/>
      <c r="O1" s="23"/>
      <c r="P1" s="23"/>
      <c r="Q1" s="40"/>
      <c r="R1" s="32"/>
      <c r="S1" s="33"/>
      <c r="T1" s="33"/>
      <c r="U1" s="33"/>
      <c r="V1" s="33"/>
      <c r="W1" s="35"/>
      <c r="X1" s="35"/>
      <c r="Y1" s="33"/>
      <c r="Z1" s="34"/>
      <c r="AA1" s="39"/>
      <c r="AB1" s="41"/>
      <c r="AC1" s="41"/>
      <c r="AD1" s="76" t="s">
        <v>79</v>
      </c>
      <c r="AE1" s="41"/>
      <c r="AF1" s="9"/>
      <c r="AG1" s="23"/>
      <c r="AH1" s="78" t="s">
        <v>63</v>
      </c>
      <c r="AI1" s="49"/>
      <c r="AJ1" s="11"/>
      <c r="AK1" s="11"/>
      <c r="AL1" s="11"/>
      <c r="AM1" s="77" t="s">
        <v>80</v>
      </c>
      <c r="AN1" s="11"/>
      <c r="AO1" s="11"/>
      <c r="AP1" s="11"/>
      <c r="AQ1" s="11"/>
      <c r="AR1" s="11"/>
      <c r="AS1" s="11"/>
      <c r="AT1" s="11"/>
      <c r="AU1" s="11"/>
      <c r="AV1" s="12"/>
      <c r="AW1" s="8"/>
    </row>
    <row r="2" spans="1:49" ht="30.75" customHeight="1" thickBot="1" thickTop="1">
      <c r="A2" s="25" t="s">
        <v>64</v>
      </c>
      <c r="B2" s="108" t="s">
        <v>65</v>
      </c>
      <c r="C2" s="109" t="s">
        <v>23</v>
      </c>
      <c r="D2" s="109" t="s">
        <v>24</v>
      </c>
      <c r="E2" s="109" t="s">
        <v>43</v>
      </c>
      <c r="F2" s="109" t="s">
        <v>54</v>
      </c>
      <c r="G2" s="109" t="s">
        <v>121</v>
      </c>
      <c r="H2" s="109" t="s">
        <v>120</v>
      </c>
      <c r="I2" s="109" t="s">
        <v>119</v>
      </c>
      <c r="J2" s="109" t="s">
        <v>33</v>
      </c>
      <c r="K2" s="109" t="s">
        <v>66</v>
      </c>
      <c r="L2" s="109" t="s">
        <v>25</v>
      </c>
      <c r="M2" s="109" t="s">
        <v>26</v>
      </c>
      <c r="N2" s="109" t="s">
        <v>27</v>
      </c>
      <c r="O2" s="109" t="s">
        <v>28</v>
      </c>
      <c r="P2" s="109" t="s">
        <v>118</v>
      </c>
      <c r="Q2" s="110" t="s">
        <v>115</v>
      </c>
      <c r="R2" s="30" t="s">
        <v>116</v>
      </c>
      <c r="S2" s="30" t="s">
        <v>36</v>
      </c>
      <c r="T2" s="30" t="s">
        <v>42</v>
      </c>
      <c r="U2" s="30" t="s">
        <v>29</v>
      </c>
      <c r="V2" s="30" t="s">
        <v>35</v>
      </c>
      <c r="W2" s="30" t="s">
        <v>117</v>
      </c>
      <c r="X2" s="30" t="s">
        <v>34</v>
      </c>
      <c r="Y2" s="30" t="s">
        <v>30</v>
      </c>
      <c r="Z2" s="30" t="s">
        <v>31</v>
      </c>
      <c r="AA2" s="28" t="s">
        <v>41</v>
      </c>
      <c r="AB2" s="20" t="s">
        <v>40</v>
      </c>
      <c r="AC2" s="42" t="s">
        <v>61</v>
      </c>
      <c r="AD2" s="44" t="s">
        <v>37</v>
      </c>
      <c r="AE2" s="21" t="s">
        <v>38</v>
      </c>
      <c r="AF2" s="20" t="s">
        <v>32</v>
      </c>
      <c r="AG2" s="45" t="s">
        <v>39</v>
      </c>
      <c r="AH2" s="14" t="s">
        <v>45</v>
      </c>
      <c r="AI2" s="14" t="s">
        <v>46</v>
      </c>
      <c r="AJ2" s="14" t="s">
        <v>47</v>
      </c>
      <c r="AK2" s="14" t="s">
        <v>44</v>
      </c>
      <c r="AL2" s="14" t="s">
        <v>57</v>
      </c>
      <c r="AM2" s="14" t="s">
        <v>58</v>
      </c>
      <c r="AN2" s="14" t="s">
        <v>59</v>
      </c>
      <c r="AO2" s="14" t="s">
        <v>48</v>
      </c>
      <c r="AP2" s="14" t="s">
        <v>49</v>
      </c>
      <c r="AQ2" s="14" t="s">
        <v>50</v>
      </c>
      <c r="AR2" s="14" t="s">
        <v>51</v>
      </c>
      <c r="AS2" s="14" t="s">
        <v>52</v>
      </c>
      <c r="AT2" s="14" t="s">
        <v>53</v>
      </c>
      <c r="AU2" s="14" t="s">
        <v>62</v>
      </c>
      <c r="AV2" s="15" t="s">
        <v>60</v>
      </c>
      <c r="AW2" s="8"/>
    </row>
    <row r="3" spans="1:49" ht="15.75" customHeight="1" thickBot="1">
      <c r="A3" s="25">
        <f>IF(V3=1,AG3*T3*(E3-T3/2)+H3*310*(E3-F3)+S3*AE3*(D3-E3),IF(V3=2,G3*310*(E3-0.5*Z3*D3)+AE3*X3*D3*(1-0.5*Z3),IF(V3=3,G3*310*(E3-F3)+AE3*X3*(D3-F3),0)))/1000000</f>
        <v>263.8416</v>
      </c>
      <c r="B3" s="36">
        <v>0</v>
      </c>
      <c r="C3" s="37">
        <v>300</v>
      </c>
      <c r="D3" s="37">
        <v>700</v>
      </c>
      <c r="E3" s="37">
        <v>640</v>
      </c>
      <c r="F3" s="37">
        <v>35</v>
      </c>
      <c r="G3" s="37">
        <v>1140</v>
      </c>
      <c r="H3" s="37">
        <v>982</v>
      </c>
      <c r="I3" s="37">
        <v>25</v>
      </c>
      <c r="J3" s="37">
        <f>IF(I3=7.5,3.7,IF(I3=10,5,IF(I3=15,7.5,IF(I3=20,10,IF(I3=25,12.5,IF(I3=30,15,IF(I3=35,17.5,IF(I3=40,19.5,AA3))))))))</f>
        <v>12.5</v>
      </c>
      <c r="K3" s="37">
        <v>0</v>
      </c>
      <c r="L3" s="37">
        <v>1</v>
      </c>
      <c r="M3" s="37">
        <f>IF(L3=1,'混凝土与碳纤维材料技术参数'!B13,IF(L3=2,'混凝土与碳纤维材料技术参数'!B14,IF(L3=3,'混凝土与碳纤维材料技术参数'!B15,0)))</f>
        <v>0.11</v>
      </c>
      <c r="N3" s="37">
        <f>IF(L3=1,'混凝土与碳纤维材料技术参数'!C13,IF(L3=2,'混凝土与碳纤维材料技术参数'!C14,IF(L3=3,'混凝土与碳纤维材料技术参数'!C15,0)))</f>
        <v>228000</v>
      </c>
      <c r="O3" s="37">
        <f>IF(L3=1,'混凝土与碳纤维材料技术参数'!D13,IF(L3=2,'混凝土与碳纤维材料技术参数'!D14,IF(L3=3,'混凝土与碳纤维材料技术参数'!D15,0)))</f>
        <v>0.0155</v>
      </c>
      <c r="P3" s="37">
        <v>1</v>
      </c>
      <c r="Q3" s="38">
        <v>300</v>
      </c>
      <c r="R3" s="31">
        <f>0.8*0.0033*D3/T3-AF3</f>
        <v>0.02868432844881479</v>
      </c>
      <c r="S3" s="31">
        <f>(AG3*T3-AD3)/AE3</f>
        <v>0.02228716246851042</v>
      </c>
      <c r="T3" s="31">
        <f>(-AE3*AF3+SQRT(AE3*AF3*AE3*AF3-4*AG3*(-AD3-AE3*0.8*0.0033*D3)))/(2*AG3)</f>
        <v>57.77829611015264</v>
      </c>
      <c r="U3" s="31">
        <f>(-AE3*AF3-SQRT(AE3*AF3*AE3*AF3-4*AG3*(-AD3-AE3*0.8*0.0033*D3)))/(2*AG3)</f>
        <v>-64.39941611015264</v>
      </c>
      <c r="V3" s="31">
        <f>IF(T3&lt;2*F3,3,IF(T3&lt;Z3*D3,2,IF(T3&lt;0.544*E3,1,0)))</f>
        <v>3</v>
      </c>
      <c r="W3" s="31">
        <f>IF(K3=1,#REF!,0)</f>
        <v>0</v>
      </c>
      <c r="X3" s="31">
        <f>IF(Y3*O3&gt;IF(O3*2/3&gt;0.01,0.01,O3*2/3),IF(O3*2/3&gt;0.01,0.01,O3*2/3),Y3*O3)</f>
        <v>0.01</v>
      </c>
      <c r="Y3" s="31">
        <f>1-M3*N3*P3/420000</f>
        <v>0.9402857142857143</v>
      </c>
      <c r="Z3" s="31">
        <f>0.8*0.0033/(0.0033+X3+IF(K3=1,AJ3,0))</f>
        <v>0.19849624060150378</v>
      </c>
      <c r="AA3" s="29">
        <f>IF(I3=40,19.5,IF(I3=45,21.5,IF(I3=50,23.5,IF(I3=55,25,IF(I3=60,26.5,0)))))</f>
        <v>0</v>
      </c>
      <c r="AB3" s="19">
        <f>IF(I3=45,2.51,IF(I3=50,2.65,IF(I3=55,2.74,IF(I3=60,2.85,0))))</f>
        <v>0</v>
      </c>
      <c r="AC3" s="43">
        <f>IF(I3=45,33500,IF(I3=50,34500,IF(I3=55,35500,IF(I3=60,36000,0))))</f>
        <v>0</v>
      </c>
      <c r="AD3" s="46">
        <f>(G3-H3)*310</f>
        <v>48980</v>
      </c>
      <c r="AE3" s="47">
        <f>N3*P3*Q3*M3</f>
        <v>7524000</v>
      </c>
      <c r="AF3" s="47">
        <f>0.0033+W3</f>
        <v>0.0033</v>
      </c>
      <c r="AG3" s="48">
        <f>C3*J3</f>
        <v>3750</v>
      </c>
      <c r="AH3" s="18"/>
      <c r="AI3" s="18"/>
      <c r="AJ3" s="16" t="e">
        <f>(D3/E3)*(AN3+AO3)-AN3</f>
        <v>#DIV/0!</v>
      </c>
      <c r="AK3" s="16">
        <f>IF(I3=7.5,0.75,IF(I3=10,0.9,IF(I3=15,1.25,IF(I3=20,1.54,IF(I3=25,1.78,IF(I3=30,2.01,IF(I3=35,2.2,IF(I3=40,19.5,AB3))))))))</f>
        <v>1.78</v>
      </c>
      <c r="AL3" s="16">
        <f>IF(I3=7.5,14500,IF(I3=10,17500,IF(I3=15,22000,IF(I3=20,25500,IF(I3=25,28000,IF(I3=30,30000,IF(I3=35,31500,IF(I3=40,32500,AC3))))))))</f>
        <v>28000</v>
      </c>
      <c r="AM3" s="16">
        <v>235000</v>
      </c>
      <c r="AN3" s="16">
        <f>B3*1000000/(AQ3*AL3*C3*E3*E3)</f>
        <v>0</v>
      </c>
      <c r="AO3" s="16" t="e">
        <f>B3*AR3*1000000/(0.85*AM3*G3*E3)</f>
        <v>#DIV/0!</v>
      </c>
      <c r="AP3" s="16">
        <f>B3*1000000/(G3*0.87*E3)</f>
        <v>0</v>
      </c>
      <c r="AQ3" s="16">
        <f>(1+3.5*AS3)*AT3*AU3/(0.2*(1+3.5*AS3)+6*AT3*AU3)</f>
        <v>0.09986580183404159</v>
      </c>
      <c r="AR3" s="16" t="e">
        <f>1.1-0.65*AK3/(AP3*AV3)</f>
        <v>#DIV/0!</v>
      </c>
      <c r="AS3" s="16">
        <f>(AH3-C3)*AI3/(C3*E3)</f>
        <v>0</v>
      </c>
      <c r="AT3" s="16">
        <f>AM3/AL3</f>
        <v>8.392857142857142</v>
      </c>
      <c r="AU3" s="16">
        <f>G3/(C3*E3)</f>
        <v>0.0059375</v>
      </c>
      <c r="AV3" s="17">
        <f>G3/(0.5*C3*D3+(AH3-C3)*AI3)</f>
        <v>0.010857142857142857</v>
      </c>
      <c r="AW3" s="8"/>
    </row>
    <row r="4" spans="1:48" ht="17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6" ht="21" customHeight="1"/>
    <row r="7" ht="20.25" customHeight="1"/>
    <row r="8" spans="1:12" ht="2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3" s="54" customFormat="1" ht="19.5" customHeight="1">
      <c r="A9" s="51" t="s">
        <v>75</v>
      </c>
      <c r="B9" s="52"/>
      <c r="C9" s="53"/>
      <c r="D9" s="75"/>
      <c r="E9" s="75"/>
      <c r="F9" s="55" t="s">
        <v>74</v>
      </c>
      <c r="G9" s="53"/>
      <c r="H9" s="53"/>
      <c r="I9" s="52"/>
      <c r="J9" s="75"/>
      <c r="K9" s="75"/>
      <c r="L9" s="75"/>
      <c r="M9" s="56"/>
    </row>
    <row r="10" spans="1:13" ht="19.5" customHeight="1">
      <c r="A10" s="13"/>
      <c r="B10" s="51" t="s">
        <v>76</v>
      </c>
      <c r="C10" s="52"/>
      <c r="D10" s="52"/>
      <c r="E10" s="52"/>
      <c r="F10" s="52"/>
      <c r="G10" s="52"/>
      <c r="H10" s="52"/>
      <c r="I10" s="13"/>
      <c r="J10" s="13"/>
      <c r="K10" s="13"/>
      <c r="L10" s="13"/>
      <c r="M10" s="8"/>
    </row>
    <row r="11" spans="1:13" ht="19.5" customHeight="1">
      <c r="A11" s="13"/>
      <c r="B11" s="51" t="s">
        <v>77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8"/>
    </row>
    <row r="12" spans="1:13" ht="19.5" customHeight="1">
      <c r="A12" s="13"/>
      <c r="B12" s="51" t="s">
        <v>78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8"/>
    </row>
    <row r="13" spans="1:13" ht="19.5" customHeight="1">
      <c r="A13" s="50"/>
      <c r="B13" s="106" t="s">
        <v>113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8"/>
    </row>
    <row r="14" spans="1:13" ht="19.5" customHeight="1">
      <c r="A14" s="50"/>
      <c r="B14" s="107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8"/>
    </row>
    <row r="15" spans="1:13" ht="19.5" customHeight="1">
      <c r="A15" s="50"/>
      <c r="B15" s="107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8"/>
    </row>
    <row r="16" spans="1:13" ht="19.5" customHeight="1">
      <c r="A16" s="50"/>
      <c r="B16" s="107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8"/>
    </row>
    <row r="17" spans="1:13" ht="19.5" customHeight="1">
      <c r="A17" s="50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8"/>
    </row>
    <row r="18" spans="1:12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4">
      <selection activeCell="A20" sqref="A20"/>
    </sheetView>
  </sheetViews>
  <sheetFormatPr defaultColWidth="9.00390625" defaultRowHeight="14.25"/>
  <cols>
    <col min="1" max="1" width="7.00390625" style="104" customWidth="1"/>
    <col min="2" max="2" width="7.125" style="104" customWidth="1"/>
    <col min="3" max="3" width="7.875" style="104" customWidth="1"/>
    <col min="4" max="4" width="5.75390625" style="104" customWidth="1"/>
    <col min="5" max="5" width="5.625" style="104" customWidth="1"/>
    <col min="6" max="6" width="7.75390625" style="104" customWidth="1"/>
    <col min="7" max="7" width="5.25390625" style="104" customWidth="1"/>
    <col min="8" max="8" width="6.125" style="104" customWidth="1"/>
    <col min="9" max="9" width="6.75390625" style="104" customWidth="1"/>
    <col min="10" max="10" width="5.375" style="104" customWidth="1"/>
    <col min="11" max="11" width="4.75390625" style="104" customWidth="1"/>
    <col min="12" max="13" width="4.375" style="104" customWidth="1"/>
    <col min="14" max="16384" width="9.00390625" style="104" customWidth="1"/>
  </cols>
  <sheetData>
    <row r="1" spans="1:7" s="83" customFormat="1" ht="15.75">
      <c r="A1" s="83" t="s">
        <v>81</v>
      </c>
      <c r="F1" s="83" t="s">
        <v>82</v>
      </c>
      <c r="G1" s="85">
        <v>1</v>
      </c>
    </row>
    <row r="3" s="83" customFormat="1" ht="15.75">
      <c r="A3" s="80" t="s">
        <v>87</v>
      </c>
    </row>
    <row r="4" spans="1:11" s="83" customFormat="1" ht="18.75">
      <c r="A4" s="82" t="s">
        <v>84</v>
      </c>
      <c r="B4" s="83">
        <f>'加固计算结果'!C3</f>
        <v>300</v>
      </c>
      <c r="C4" s="80" t="s">
        <v>0</v>
      </c>
      <c r="D4" s="82" t="s">
        <v>85</v>
      </c>
      <c r="E4" s="80">
        <f>'加固计算结果'!D3</f>
        <v>700</v>
      </c>
      <c r="F4" s="80" t="s">
        <v>0</v>
      </c>
      <c r="G4" s="82" t="s">
        <v>89</v>
      </c>
      <c r="H4" s="83">
        <f>'加固计算结果'!AH3</f>
        <v>0</v>
      </c>
      <c r="I4" s="80" t="s">
        <v>0</v>
      </c>
      <c r="J4" s="80"/>
      <c r="K4" s="80"/>
    </row>
    <row r="5" spans="1:13" s="83" customFormat="1" ht="18.75">
      <c r="A5" s="82" t="s">
        <v>90</v>
      </c>
      <c r="B5" s="83">
        <f>'加固计算结果'!E3</f>
        <v>640</v>
      </c>
      <c r="C5" s="80" t="s">
        <v>0</v>
      </c>
      <c r="D5" s="82" t="s">
        <v>83</v>
      </c>
      <c r="E5" s="80">
        <f>'加固计算结果'!F3</f>
        <v>35</v>
      </c>
      <c r="F5" s="80" t="s">
        <v>0</v>
      </c>
      <c r="G5" s="82" t="s">
        <v>91</v>
      </c>
      <c r="H5" s="83">
        <f>'加固计算结果'!AI3</f>
        <v>0</v>
      </c>
      <c r="I5" s="80" t="s">
        <v>0</v>
      </c>
      <c r="L5" s="80"/>
      <c r="M5" s="80"/>
    </row>
    <row r="6" spans="1:13" s="83" customFormat="1" ht="20.25">
      <c r="A6" s="82" t="s">
        <v>92</v>
      </c>
      <c r="B6" s="83">
        <f>'加固计算结果'!G3</f>
        <v>1140</v>
      </c>
      <c r="C6" s="80" t="s">
        <v>93</v>
      </c>
      <c r="D6" s="82" t="s">
        <v>94</v>
      </c>
      <c r="E6" s="83">
        <f>'加固计算结果'!H3</f>
        <v>982</v>
      </c>
      <c r="F6" s="80" t="s">
        <v>93</v>
      </c>
      <c r="G6" s="79" t="s">
        <v>95</v>
      </c>
      <c r="H6" s="83">
        <v>0.0033</v>
      </c>
      <c r="I6" s="80"/>
      <c r="L6" s="80"/>
      <c r="M6" s="80"/>
    </row>
    <row r="7" spans="1:13" s="83" customFormat="1" ht="20.25">
      <c r="A7" s="86" t="s">
        <v>96</v>
      </c>
      <c r="B7" s="82">
        <f>'加固计算结果'!I3</f>
        <v>25</v>
      </c>
      <c r="C7" s="80"/>
      <c r="D7" s="82" t="s">
        <v>97</v>
      </c>
      <c r="E7" s="80">
        <f>'加固计算结果'!J3</f>
        <v>12.5</v>
      </c>
      <c r="F7" s="80" t="s">
        <v>98</v>
      </c>
      <c r="G7" s="82" t="s">
        <v>99</v>
      </c>
      <c r="H7" s="83">
        <v>310</v>
      </c>
      <c r="I7" s="80" t="s">
        <v>98</v>
      </c>
      <c r="L7" s="80"/>
      <c r="M7" s="80"/>
    </row>
    <row r="8" spans="1:13" s="83" customFormat="1" ht="15.75">
      <c r="A8" s="84" t="s">
        <v>88</v>
      </c>
      <c r="B8" s="82"/>
      <c r="C8" s="80"/>
      <c r="D8" s="82"/>
      <c r="E8" s="80"/>
      <c r="F8" s="80"/>
      <c r="G8" s="82"/>
      <c r="I8" s="80"/>
      <c r="L8" s="80"/>
      <c r="M8" s="80"/>
    </row>
    <row r="9" spans="1:11" s="83" customFormat="1" ht="20.25">
      <c r="A9" s="82" t="s">
        <v>100</v>
      </c>
      <c r="B9" s="83">
        <f>'加固计算结果'!N3</f>
        <v>228000</v>
      </c>
      <c r="C9" s="80" t="s">
        <v>101</v>
      </c>
      <c r="D9" s="82" t="s">
        <v>102</v>
      </c>
      <c r="E9" s="80">
        <f>'加固计算结果'!M3</f>
        <v>0.11</v>
      </c>
      <c r="F9" s="80" t="s">
        <v>0</v>
      </c>
      <c r="G9" s="79" t="s">
        <v>103</v>
      </c>
      <c r="H9" s="83">
        <f>'加固计算结果'!O3</f>
        <v>0.0155</v>
      </c>
      <c r="I9" s="80"/>
      <c r="J9" s="80"/>
      <c r="K9" s="80"/>
    </row>
    <row r="10" spans="1:13" s="83" customFormat="1" ht="15.75">
      <c r="A10" s="84" t="s">
        <v>110</v>
      </c>
      <c r="C10" s="80"/>
      <c r="D10" s="82"/>
      <c r="E10" s="80"/>
      <c r="F10" s="80"/>
      <c r="G10" s="82"/>
      <c r="I10" s="80"/>
      <c r="L10" s="80"/>
      <c r="M10" s="80"/>
    </row>
    <row r="11" spans="1:13" s="83" customFormat="1" ht="18.75">
      <c r="A11" s="82" t="s">
        <v>104</v>
      </c>
      <c r="B11" s="85">
        <f>'加固计算结果'!Q3</f>
        <v>300</v>
      </c>
      <c r="C11" s="80" t="s">
        <v>0</v>
      </c>
      <c r="D11" s="82" t="s">
        <v>105</v>
      </c>
      <c r="E11" s="85">
        <f>'加固计算结果'!P3</f>
        <v>1</v>
      </c>
      <c r="F11" s="80"/>
      <c r="G11" s="82"/>
      <c r="I11" s="80"/>
      <c r="L11" s="80"/>
      <c r="M11" s="80"/>
    </row>
    <row r="12" spans="1:13" s="83" customFormat="1" ht="15.75">
      <c r="A12" s="82"/>
      <c r="B12" s="85"/>
      <c r="C12" s="80"/>
      <c r="D12" s="82"/>
      <c r="E12" s="85"/>
      <c r="F12" s="80"/>
      <c r="G12" s="82"/>
      <c r="I12" s="80"/>
      <c r="L12" s="80"/>
      <c r="M12" s="80"/>
    </row>
    <row r="13" s="83" customFormat="1" ht="15.75">
      <c r="A13" s="80" t="s">
        <v>114</v>
      </c>
    </row>
    <row r="14" spans="1:9" s="83" customFormat="1" ht="18.75">
      <c r="A14" s="80" t="s">
        <v>106</v>
      </c>
      <c r="F14" s="80"/>
      <c r="I14" s="81"/>
    </row>
    <row r="15" s="83" customFormat="1" ht="18.75">
      <c r="A15" s="80" t="s">
        <v>107</v>
      </c>
    </row>
    <row r="16" spans="1:8" s="83" customFormat="1" ht="15.75">
      <c r="A16" s="82" t="s">
        <v>108</v>
      </c>
      <c r="B16" s="83">
        <f>'加固计算结果'!T3</f>
        <v>57.77829611015264</v>
      </c>
      <c r="C16" s="80" t="str">
        <f>IF('加固计算结果'!V3=3,"&lt;2a’=",IF('加固计算结果'!V3=2,"&gt;2a’=",IF('加固计算结果'!V3=1,"&gt;hξcfb=","")))</f>
        <v>&lt;2a’=</v>
      </c>
      <c r="D16" s="84">
        <f>IF('加固计算结果'!V3=3,2*'加固计算结果'!F3,IF('加固计算结果'!V3=2,2*'加固计算结果'!F3,IF('加固计算结果'!V3=1,'加固计算结果'!Z3*'加固计算结果'!D3,"")))</f>
        <v>70</v>
      </c>
      <c r="E16" s="80">
        <f>IF('加固计算结果'!V3=3,"",IF('加固计算结果'!V3=2,"且x&lt;",IF('加固计算结果'!V3=1,"且x&lt;","")))</f>
      </c>
      <c r="F16" s="86">
        <f>IF('加固计算结果'!V3=3,"",IF('加固计算结果'!V3=2,"hξcfb=",IF('加固计算结果'!V3=1,"h0ξb=","")))</f>
      </c>
      <c r="G16" s="86">
        <f>IF('加固计算结果'!V3=3,"",IF('加固计算结果'!V3=2,'加固计算结果'!Z3*'加固计算结果'!D3,IF('加固计算结果'!V3=1,0.544*'加固计算结果'!E3,"")))</f>
      </c>
      <c r="H16" s="80"/>
    </row>
    <row r="17" s="83" customFormat="1" ht="14.25">
      <c r="A17" s="83" t="str">
        <f>IF('加固计算结果'!V3=3,"采用公式4.3.2-5计算",IF('加固计算结果'!V3=2,"采用公式4.3.2-4计算",IF('加固计算结果'!V3=1,"采用公式4.3.2-1计算","")))</f>
        <v>采用公式4.3.2-5计算</v>
      </c>
    </row>
    <row r="18" spans="1:4" s="83" customFormat="1" ht="18.75">
      <c r="A18" s="91" t="s">
        <v>111</v>
      </c>
      <c r="D18" s="83">
        <f>'加固计算结果'!Y3</f>
        <v>0.9402857142857143</v>
      </c>
    </row>
    <row r="19" spans="1:3" s="83" customFormat="1" ht="18.75">
      <c r="A19" s="84" t="s">
        <v>112</v>
      </c>
      <c r="C19" s="81">
        <f>'加固计算结果'!X3</f>
        <v>0.01</v>
      </c>
    </row>
    <row r="20" spans="1:3" s="83" customFormat="1" ht="15.75">
      <c r="A20" s="84" t="str">
        <f>IF('加固计算结果'!V3=3,"Mu= fyAs(h0-a’)+Ecf [εcf]Acf(h0-a’)",IF('加固计算结果'!V3=2,"Mu= fyAs(h0-0.5ξcfbh)+Ecf [εcf]Acf h (1-0.5ξcfb)",IF('加固计算结果'!V3=1,"Mu= fyAsX(h0－X/2)+ fy’As’(h0－a’)+EcfεcfAcf (h－h0)","")))</f>
        <v>Mu= fyAs(h0-a’)+Ecf [εcf]Acf(h0-a’)</v>
      </c>
      <c r="C20" s="81"/>
    </row>
    <row r="21" spans="1:7" s="83" customFormat="1" ht="15.75">
      <c r="A21" s="82" t="s">
        <v>86</v>
      </c>
      <c r="B21" s="84">
        <f>'加固计算结果'!A3</f>
        <v>263.8416</v>
      </c>
      <c r="C21" s="80" t="s">
        <v>109</v>
      </c>
      <c r="F21" s="79"/>
      <c r="G21" s="80"/>
    </row>
    <row r="22" spans="1:7" s="83" customFormat="1" ht="15.75">
      <c r="A22" s="82"/>
      <c r="B22" s="84"/>
      <c r="F22" s="79"/>
      <c r="G22" s="80"/>
    </row>
    <row r="23" s="83" customFormat="1" ht="15.75">
      <c r="A23" s="80"/>
    </row>
    <row r="24" spans="1:9" s="83" customFormat="1" ht="15.75">
      <c r="A24" s="80"/>
      <c r="F24" s="80"/>
      <c r="I24" s="81"/>
    </row>
    <row r="25" s="83" customFormat="1" ht="15.75">
      <c r="A25" s="80"/>
    </row>
    <row r="26" spans="1:6" s="83" customFormat="1" ht="15.75">
      <c r="A26" s="82"/>
      <c r="C26" s="85"/>
      <c r="D26" s="84"/>
      <c r="E26" s="85"/>
      <c r="F26" s="85"/>
    </row>
    <row r="27" spans="1:7" s="83" customFormat="1" ht="15.75">
      <c r="A27" s="81"/>
      <c r="B27" s="80"/>
      <c r="F27" s="87"/>
      <c r="G27" s="80"/>
    </row>
    <row r="28" s="83" customFormat="1" ht="15.75">
      <c r="A28" s="80"/>
    </row>
    <row r="29" spans="1:3" s="83" customFormat="1" ht="15.75">
      <c r="A29" s="84"/>
      <c r="C29" s="81"/>
    </row>
    <row r="30" spans="1:6" s="83" customFormat="1" ht="15.75">
      <c r="A30" s="80"/>
      <c r="D30" s="80"/>
      <c r="F30" s="79"/>
    </row>
    <row r="31" spans="1:7" s="83" customFormat="1" ht="15.75">
      <c r="A31" s="82"/>
      <c r="B31" s="84"/>
      <c r="C31" s="80"/>
      <c r="E31" s="82"/>
      <c r="F31" s="88"/>
      <c r="G31" s="80"/>
    </row>
    <row r="32" spans="1:7" s="83" customFormat="1" ht="15.75">
      <c r="A32" s="80"/>
      <c r="E32" s="82"/>
      <c r="F32" s="88"/>
      <c r="G32" s="80"/>
    </row>
    <row r="33" s="83" customFormat="1" ht="15.75">
      <c r="A33" s="80"/>
    </row>
    <row r="34" spans="1:9" s="83" customFormat="1" ht="15.75">
      <c r="A34" s="80"/>
      <c r="F34" s="80"/>
      <c r="I34" s="81"/>
    </row>
    <row r="35" s="83" customFormat="1" ht="15.75">
      <c r="A35" s="80"/>
    </row>
    <row r="36" spans="1:6" s="83" customFormat="1" ht="15.75">
      <c r="A36" s="82"/>
      <c r="C36" s="85"/>
      <c r="E36" s="85"/>
      <c r="F36" s="85"/>
    </row>
    <row r="37" spans="1:7" s="83" customFormat="1" ht="15.75">
      <c r="A37" s="81"/>
      <c r="B37" s="80"/>
      <c r="F37" s="87"/>
      <c r="G37" s="80"/>
    </row>
    <row r="38" s="83" customFormat="1" ht="15.75">
      <c r="A38" s="80"/>
    </row>
    <row r="39" spans="1:3" s="83" customFormat="1" ht="15.75">
      <c r="A39" s="84"/>
      <c r="C39" s="81"/>
    </row>
    <row r="40" spans="1:4" s="83" customFormat="1" ht="15.75">
      <c r="A40" s="80"/>
      <c r="B40" s="80"/>
      <c r="C40" s="89"/>
      <c r="D40" s="80"/>
    </row>
    <row r="41" spans="1:5" s="83" customFormat="1" ht="15.75">
      <c r="A41" s="82"/>
      <c r="B41" s="84"/>
      <c r="C41" s="80"/>
      <c r="D41" s="90"/>
      <c r="E41" s="80"/>
    </row>
    <row r="42" spans="3:5" s="83" customFormat="1" ht="15.75">
      <c r="C42" s="86"/>
      <c r="D42" s="90"/>
      <c r="E42" s="80"/>
    </row>
    <row r="43" spans="2:9" s="83" customFormat="1" ht="15.75">
      <c r="B43" s="86"/>
      <c r="C43" s="86"/>
      <c r="D43" s="90"/>
      <c r="E43" s="91"/>
      <c r="F43" s="92"/>
      <c r="G43" s="93"/>
      <c r="H43" s="90"/>
      <c r="I43" s="80"/>
    </row>
    <row r="46" s="83" customFormat="1" ht="15.75">
      <c r="A46" s="80"/>
    </row>
    <row r="47" s="83" customFormat="1" ht="14.25"/>
    <row r="48" spans="1:8" s="83" customFormat="1" ht="15.75">
      <c r="A48" s="80"/>
      <c r="D48" s="80"/>
      <c r="F48" s="86"/>
      <c r="G48" s="86"/>
      <c r="H48" s="80"/>
    </row>
    <row r="50" s="83" customFormat="1" ht="14.25"/>
    <row r="51" s="83" customFormat="1" ht="14.25"/>
    <row r="52" spans="1:6" s="83" customFormat="1" ht="15.75">
      <c r="A52" s="82"/>
      <c r="B52" s="80"/>
      <c r="E52" s="87"/>
      <c r="F52" s="80"/>
    </row>
    <row r="53" spans="1:7" s="83" customFormat="1" ht="15.75">
      <c r="A53" s="82"/>
      <c r="B53" s="80"/>
      <c r="E53" s="87"/>
      <c r="G53" s="85"/>
    </row>
    <row r="54" spans="4:5" s="83" customFormat="1" ht="15.75">
      <c r="D54" s="80"/>
      <c r="E54" s="79"/>
    </row>
    <row r="55" spans="2:6" s="83" customFormat="1" ht="15.75">
      <c r="B55" s="80"/>
      <c r="D55" s="82"/>
      <c r="E55" s="79"/>
      <c r="F55" s="80"/>
    </row>
    <row r="56" spans="4:5" s="83" customFormat="1" ht="15.75">
      <c r="D56" s="80"/>
      <c r="E56" s="79"/>
    </row>
    <row r="57" spans="2:6" s="83" customFormat="1" ht="15.75">
      <c r="B57" s="80"/>
      <c r="D57" s="82"/>
      <c r="E57" s="79"/>
      <c r="F57" s="80"/>
    </row>
    <row r="58" spans="1:6" s="83" customFormat="1" ht="15.75">
      <c r="A58" s="80"/>
      <c r="D58" s="82"/>
      <c r="E58" s="87"/>
      <c r="F58" s="80"/>
    </row>
    <row r="59" spans="1:6" s="83" customFormat="1" ht="15.75">
      <c r="A59" s="80"/>
      <c r="B59" s="94"/>
      <c r="C59" s="80"/>
      <c r="D59" s="82"/>
      <c r="E59" s="87"/>
      <c r="F59" s="80"/>
    </row>
    <row r="61" s="83" customFormat="1" ht="14.25"/>
    <row r="62" spans="1:5" s="83" customFormat="1" ht="15.75">
      <c r="A62" s="80"/>
      <c r="D62" s="90"/>
      <c r="E62" s="80"/>
    </row>
    <row r="64" s="83" customFormat="1" ht="14.25"/>
    <row r="65" spans="2:4" s="83" customFormat="1" ht="15.75">
      <c r="B65" s="80"/>
      <c r="C65" s="81"/>
      <c r="D65" s="80"/>
    </row>
    <row r="66" spans="1:5" s="83" customFormat="1" ht="15.75">
      <c r="A66" s="80"/>
      <c r="D66" s="90"/>
      <c r="E66" s="80"/>
    </row>
    <row r="67" spans="3:9" s="83" customFormat="1" ht="15.75">
      <c r="C67" s="86"/>
      <c r="D67" s="95"/>
      <c r="E67" s="80"/>
      <c r="F67" s="87"/>
      <c r="G67" s="80"/>
      <c r="H67" s="96"/>
      <c r="I67" s="80"/>
    </row>
    <row r="68" spans="2:9" s="83" customFormat="1" ht="15.75">
      <c r="B68" s="86"/>
      <c r="C68" s="86"/>
      <c r="D68" s="90"/>
      <c r="E68" s="91"/>
      <c r="F68" s="92"/>
      <c r="G68" s="93"/>
      <c r="H68" s="90"/>
      <c r="I68" s="80"/>
    </row>
    <row r="70" s="83" customFormat="1" ht="15.75">
      <c r="A70" s="80"/>
    </row>
    <row r="71" spans="1:7" s="83" customFormat="1" ht="15.75">
      <c r="A71" s="86"/>
      <c r="B71" s="85"/>
      <c r="C71" s="80"/>
      <c r="E71" s="82"/>
      <c r="G71" s="80"/>
    </row>
    <row r="72" spans="1:7" s="83" customFormat="1" ht="15.75">
      <c r="A72" s="86"/>
      <c r="B72" s="85"/>
      <c r="C72" s="80"/>
      <c r="E72" s="82"/>
      <c r="G72" s="80"/>
    </row>
    <row r="73" s="83" customFormat="1" ht="15.75">
      <c r="A73" s="80"/>
    </row>
    <row r="74" spans="1:6" s="83" customFormat="1" ht="15.75">
      <c r="A74" s="80"/>
      <c r="C74" s="97"/>
      <c r="D74" s="80"/>
      <c r="E74" s="87"/>
      <c r="F74" s="80"/>
    </row>
    <row r="75" spans="1:6" s="83" customFormat="1" ht="15.75">
      <c r="A75" s="80"/>
      <c r="C75" s="98"/>
      <c r="D75" s="80"/>
      <c r="E75" s="87"/>
      <c r="F75" s="80"/>
    </row>
    <row r="76" spans="5:6" s="83" customFormat="1" ht="15.75">
      <c r="E76" s="87"/>
      <c r="F76" s="80"/>
    </row>
    <row r="77" spans="4:6" s="83" customFormat="1" ht="15.75">
      <c r="D77" s="82"/>
      <c r="E77" s="87"/>
      <c r="F77" s="80"/>
    </row>
    <row r="78" spans="1:5" s="83" customFormat="1" ht="15.75">
      <c r="A78" s="80"/>
      <c r="B78" s="94"/>
      <c r="C78" s="80"/>
      <c r="E78" s="99"/>
    </row>
    <row r="79" spans="4:6" s="83" customFormat="1" ht="15.75">
      <c r="D79" s="84"/>
      <c r="E79" s="87"/>
      <c r="F79" s="80"/>
    </row>
    <row r="80" spans="4:6" s="83" customFormat="1" ht="15.75">
      <c r="D80" s="82"/>
      <c r="E80" s="87"/>
      <c r="F80" s="80"/>
    </row>
    <row r="81" s="83" customFormat="1" ht="14.25"/>
    <row r="82" spans="2:5" s="83" customFormat="1" ht="15.75">
      <c r="B82" s="84"/>
      <c r="D82" s="79"/>
      <c r="E82" s="80"/>
    </row>
    <row r="83" spans="2:5" s="83" customFormat="1" ht="15.75">
      <c r="B83" s="80"/>
      <c r="D83" s="90"/>
      <c r="E83" s="80"/>
    </row>
    <row r="84" s="83" customFormat="1" ht="14.25">
      <c r="D84" s="79"/>
    </row>
    <row r="85" spans="2:5" s="83" customFormat="1" ht="15.75">
      <c r="B85" s="80"/>
      <c r="D85" s="90"/>
      <c r="E85" s="80"/>
    </row>
    <row r="86" s="83" customFormat="1" ht="14.25"/>
    <row r="87" spans="2:4" s="83" customFormat="1" ht="15.75">
      <c r="B87" s="80"/>
      <c r="C87" s="81"/>
      <c r="D87" s="80"/>
    </row>
    <row r="88" spans="1:5" s="83" customFormat="1" ht="15.75">
      <c r="A88" s="80"/>
      <c r="D88" s="90"/>
      <c r="E88" s="80"/>
    </row>
    <row r="89" spans="3:5" s="83" customFormat="1" ht="15.75">
      <c r="C89" s="86"/>
      <c r="D89" s="90"/>
      <c r="E89" s="80"/>
    </row>
    <row r="90" spans="2:8" s="83" customFormat="1" ht="15.75">
      <c r="B90" s="86"/>
      <c r="C90" s="100"/>
      <c r="D90" s="85"/>
      <c r="E90" s="101"/>
      <c r="F90" s="93"/>
      <c r="G90" s="90"/>
      <c r="H90" s="80"/>
    </row>
    <row r="92" spans="1:7" ht="15.75">
      <c r="A92" s="83"/>
      <c r="B92" s="83"/>
      <c r="C92" s="80"/>
      <c r="D92" s="83"/>
      <c r="E92" s="102"/>
      <c r="F92" s="91"/>
      <c r="G92" s="103"/>
    </row>
    <row r="94" ht="15.75">
      <c r="D94" s="10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G18" sqref="G18"/>
    </sheetView>
  </sheetViews>
  <sheetFormatPr defaultColWidth="9.00390625" defaultRowHeight="14.25"/>
  <cols>
    <col min="1" max="1" width="9.00390625" style="60" customWidth="1"/>
    <col min="2" max="2" width="9.50390625" style="60" customWidth="1"/>
    <col min="3" max="14" width="8.125" style="60" customWidth="1"/>
    <col min="15" max="16384" width="9.00390625" style="60" customWidth="1"/>
  </cols>
  <sheetData>
    <row r="1" ht="15.75">
      <c r="A1" s="68" t="s">
        <v>22</v>
      </c>
    </row>
    <row r="3" spans="1:14" ht="14.25">
      <c r="A3" s="61" t="s">
        <v>19</v>
      </c>
      <c r="B3" s="4" t="s">
        <v>20</v>
      </c>
      <c r="C3" s="62"/>
      <c r="D3" s="63"/>
      <c r="E3" s="63"/>
      <c r="F3" s="63"/>
      <c r="G3" s="63" t="s">
        <v>21</v>
      </c>
      <c r="H3" s="63"/>
      <c r="I3" s="63"/>
      <c r="J3" s="64"/>
      <c r="K3" s="64"/>
      <c r="L3" s="64"/>
      <c r="M3" s="64"/>
      <c r="N3" s="65"/>
    </row>
    <row r="4" spans="1:14" ht="15">
      <c r="A4" s="66"/>
      <c r="B4" s="67"/>
      <c r="C4" s="3" t="s">
        <v>2</v>
      </c>
      <c r="D4" s="1" t="s">
        <v>5</v>
      </c>
      <c r="E4" s="1" t="s">
        <v>6</v>
      </c>
      <c r="F4" s="1" t="s">
        <v>7</v>
      </c>
      <c r="G4" s="1" t="s">
        <v>1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17</v>
      </c>
      <c r="N4" s="1" t="s">
        <v>18</v>
      </c>
    </row>
    <row r="5" spans="1:14" ht="15.75">
      <c r="A5" s="2" t="s">
        <v>3</v>
      </c>
      <c r="B5" s="1" t="s">
        <v>13</v>
      </c>
      <c r="C5" s="2">
        <v>3.7</v>
      </c>
      <c r="D5" s="2">
        <v>5</v>
      </c>
      <c r="E5" s="2">
        <v>7.5</v>
      </c>
      <c r="F5" s="2">
        <v>10</v>
      </c>
      <c r="G5" s="2">
        <v>12.5</v>
      </c>
      <c r="H5" s="2">
        <v>15</v>
      </c>
      <c r="I5" s="2">
        <v>17.5</v>
      </c>
      <c r="J5" s="2">
        <v>19.5</v>
      </c>
      <c r="K5" s="2">
        <v>21.5</v>
      </c>
      <c r="L5" s="2">
        <v>23.5</v>
      </c>
      <c r="M5" s="2">
        <v>25</v>
      </c>
      <c r="N5" s="2">
        <v>26.5</v>
      </c>
    </row>
    <row r="6" spans="1:14" ht="15.75">
      <c r="A6" s="2" t="s">
        <v>4</v>
      </c>
      <c r="B6" s="1" t="s">
        <v>14</v>
      </c>
      <c r="C6" s="2">
        <v>4.1</v>
      </c>
      <c r="D6" s="2">
        <v>5.5</v>
      </c>
      <c r="E6" s="2">
        <v>8.5</v>
      </c>
      <c r="F6" s="2">
        <v>11</v>
      </c>
      <c r="G6" s="2">
        <v>13.5</v>
      </c>
      <c r="H6" s="2">
        <v>16.5</v>
      </c>
      <c r="I6" s="2">
        <v>19</v>
      </c>
      <c r="J6" s="2">
        <v>21.5</v>
      </c>
      <c r="K6" s="2">
        <v>23.5</v>
      </c>
      <c r="L6" s="2">
        <v>26</v>
      </c>
      <c r="M6" s="2">
        <v>27.5</v>
      </c>
      <c r="N6" s="2">
        <v>29</v>
      </c>
    </row>
    <row r="7" spans="1:14" ht="15.75">
      <c r="A7" s="2" t="s">
        <v>16</v>
      </c>
      <c r="B7" s="1" t="s">
        <v>15</v>
      </c>
      <c r="C7" s="2">
        <v>0.55</v>
      </c>
      <c r="D7" s="2">
        <v>0.65</v>
      </c>
      <c r="E7" s="2">
        <v>0.9</v>
      </c>
      <c r="F7" s="2">
        <v>1.1</v>
      </c>
      <c r="G7" s="2">
        <v>1.3</v>
      </c>
      <c r="H7" s="2">
        <v>1.5</v>
      </c>
      <c r="I7" s="2">
        <v>1.65</v>
      </c>
      <c r="J7" s="2">
        <v>1.8</v>
      </c>
      <c r="K7" s="2">
        <v>1.9</v>
      </c>
      <c r="L7" s="2">
        <v>2</v>
      </c>
      <c r="M7" s="2">
        <v>2.1</v>
      </c>
      <c r="N7" s="2">
        <v>2.2</v>
      </c>
    </row>
    <row r="11" spans="1:20" ht="1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45.75" customHeight="1" thickTop="1">
      <c r="A12" s="24" t="s">
        <v>67</v>
      </c>
      <c r="B12" s="24" t="s">
        <v>71</v>
      </c>
      <c r="C12" s="24" t="s">
        <v>72</v>
      </c>
      <c r="D12" s="27" t="s">
        <v>73</v>
      </c>
      <c r="E12" s="73"/>
      <c r="F12" s="1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6" ht="15" thickBot="1">
      <c r="A13" s="57" t="s">
        <v>68</v>
      </c>
      <c r="B13" s="57">
        <v>0.11</v>
      </c>
      <c r="C13" s="59">
        <v>228000</v>
      </c>
      <c r="D13" s="72">
        <v>0.0155</v>
      </c>
      <c r="E13" s="74"/>
      <c r="F13" s="13"/>
    </row>
    <row r="14" spans="1:6" ht="17.25" thickBot="1" thickTop="1">
      <c r="A14" s="58" t="s">
        <v>69</v>
      </c>
      <c r="B14" s="57">
        <v>0.167</v>
      </c>
      <c r="C14" s="70">
        <v>228000</v>
      </c>
      <c r="D14" s="72">
        <v>0.0155</v>
      </c>
      <c r="E14" s="74"/>
      <c r="F14" s="13"/>
    </row>
    <row r="15" spans="1:6" ht="17.25" thickBot="1" thickTop="1">
      <c r="A15" s="58" t="s">
        <v>70</v>
      </c>
      <c r="B15" s="57">
        <v>1.2</v>
      </c>
      <c r="C15" s="71">
        <v>165000</v>
      </c>
      <c r="D15" s="72">
        <v>0.017</v>
      </c>
      <c r="E15" s="74"/>
      <c r="F15" s="13"/>
    </row>
    <row r="16" ht="15" thickTop="1">
      <c r="E16" s="6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yjy</dc:creator>
  <cp:keywords/>
  <dc:description/>
  <cp:lastModifiedBy>unisbok</cp:lastModifiedBy>
  <cp:lastPrinted>1999-09-05T06:04:45Z</cp:lastPrinted>
  <dcterms:created xsi:type="dcterms:W3CDTF">1999-08-26T06:21:30Z</dcterms:created>
  <dcterms:modified xsi:type="dcterms:W3CDTF">2001-12-24T14:15:53Z</dcterms:modified>
  <cp:category/>
  <cp:version/>
  <cp:contentType/>
  <cp:contentStatus/>
</cp:coreProperties>
</file>