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65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<sst xmlns="http://schemas.openxmlformats.org/spreadsheetml/2006/main" count="62" uniqueCount="62">
  <si>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r>
      <t>弯矩</t>
    </r>
    <r>
      <rPr>
        <sz val="11"/>
        <rFont val="Times New Roman"/>
        <family val="1"/>
      </rPr>
      <t xml:space="preserve">  M</t>
    </r>
  </si>
  <si>
    <r>
      <t>翼缘</t>
    </r>
    <r>
      <rPr>
        <sz val="11"/>
        <rFont val="Times New Roman"/>
        <family val="1"/>
      </rPr>
      <t xml:space="preserve">  B</t>
    </r>
  </si>
  <si>
    <r>
      <t xml:space="preserve">翼缘 </t>
    </r>
    <r>
      <rPr>
        <sz val="11"/>
        <rFont val="Times New Roman"/>
        <family val="1"/>
      </rPr>
      <t>T</t>
    </r>
  </si>
  <si>
    <r>
      <t xml:space="preserve">腹板 </t>
    </r>
    <r>
      <rPr>
        <sz val="11"/>
        <rFont val="Times New Roman"/>
        <family val="1"/>
      </rPr>
      <t>Tw</t>
    </r>
  </si>
  <si>
    <r>
      <t>翼缘面积</t>
    </r>
    <r>
      <rPr>
        <sz val="11"/>
        <rFont val="Times New Roman"/>
        <family val="1"/>
      </rPr>
      <t>S</t>
    </r>
  </si>
  <si>
    <r>
      <t>腹板面积</t>
    </r>
    <r>
      <rPr>
        <sz val="11"/>
        <rFont val="Times New Roman"/>
        <family val="1"/>
      </rPr>
      <t>S</t>
    </r>
  </si>
  <si>
    <r>
      <t xml:space="preserve">惯性矩 </t>
    </r>
    <r>
      <rPr>
        <sz val="11"/>
        <rFont val="Times New Roman"/>
        <family val="1"/>
      </rPr>
      <t>I</t>
    </r>
  </si>
  <si>
    <r>
      <t>牛腿</t>
    </r>
    <r>
      <rPr>
        <sz val="11"/>
        <rFont val="Times New Roman"/>
        <family val="1"/>
      </rPr>
      <t xml:space="preserve">  H</t>
    </r>
  </si>
  <si>
    <r>
      <t>面积矩</t>
    </r>
    <r>
      <rPr>
        <sz val="11"/>
        <rFont val="Times New Roman"/>
        <family val="1"/>
      </rPr>
      <t xml:space="preserve">  S</t>
    </r>
  </si>
  <si>
    <t>结果</t>
  </si>
  <si>
    <t>钢材强度</t>
  </si>
  <si>
    <r>
      <t>牛腿计算</t>
    </r>
    <r>
      <rPr>
        <b/>
        <sz val="12"/>
        <color indexed="12"/>
        <rFont val="Times New Roman"/>
        <family val="1"/>
      </rPr>
      <t>-EXCEL</t>
    </r>
  </si>
  <si>
    <t>M16</t>
  </si>
  <si>
    <t>M20</t>
  </si>
  <si>
    <t>M22</t>
  </si>
  <si>
    <t>M24</t>
  </si>
  <si>
    <t>M27</t>
  </si>
  <si>
    <t>M30</t>
  </si>
  <si>
    <t>8.8  S</t>
  </si>
  <si>
    <t>10.9  S</t>
  </si>
  <si>
    <t>公称直径</t>
  </si>
  <si>
    <r>
      <t>螺栓</t>
    </r>
    <r>
      <rPr>
        <sz val="11"/>
        <rFont val="Times New Roman"/>
        <family val="1"/>
      </rPr>
      <t xml:space="preserve">  P </t>
    </r>
    <r>
      <rPr>
        <sz val="11"/>
        <rFont val="宋体"/>
        <family val="0"/>
      </rPr>
      <t>值</t>
    </r>
  </si>
  <si>
    <r>
      <t>轴力</t>
    </r>
    <r>
      <rPr>
        <sz val="12"/>
        <rFont val="Times New Roman"/>
        <family val="1"/>
      </rPr>
      <t xml:space="preserve">  N</t>
    </r>
  </si>
  <si>
    <r>
      <t>底板宽</t>
    </r>
    <r>
      <rPr>
        <sz val="12"/>
        <rFont val="Times New Roman"/>
        <family val="1"/>
      </rPr>
      <t xml:space="preserve">  B</t>
    </r>
  </si>
  <si>
    <r>
      <t>底板长</t>
    </r>
    <r>
      <rPr>
        <sz val="12"/>
        <rFont val="Times New Roman"/>
        <family val="1"/>
      </rPr>
      <t xml:space="preserve">  L</t>
    </r>
  </si>
  <si>
    <r>
      <t>混凝土</t>
    </r>
    <r>
      <rPr>
        <sz val="12"/>
        <rFont val="Times New Roman"/>
        <family val="1"/>
      </rPr>
      <t xml:space="preserve">  f</t>
    </r>
    <r>
      <rPr>
        <vertAlign val="subscript"/>
        <sz val="12"/>
        <rFont val="Times New Roman"/>
        <family val="1"/>
      </rPr>
      <t>cc</t>
    </r>
  </si>
  <si>
    <r>
      <t>混凝土应力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σ</t>
    </r>
  </si>
  <si>
    <t xml:space="preserve">  q</t>
  </si>
  <si>
    <r>
      <t>最大弯矩</t>
    </r>
    <r>
      <rPr>
        <sz val="12"/>
        <rFont val="Times New Roman"/>
        <family val="1"/>
      </rPr>
      <t xml:space="preserve">  M</t>
    </r>
  </si>
  <si>
    <r>
      <t>边距</t>
    </r>
    <r>
      <rPr>
        <sz val="12"/>
        <rFont val="Times New Roman"/>
        <family val="1"/>
      </rPr>
      <t xml:space="preserve">  a</t>
    </r>
  </si>
  <si>
    <r>
      <t>塑发系数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γ</t>
    </r>
  </si>
  <si>
    <r>
      <t>钢材强度</t>
    </r>
    <r>
      <rPr>
        <sz val="12"/>
        <rFont val="Times New Roman"/>
        <family val="1"/>
      </rPr>
      <t xml:space="preserve">  f</t>
    </r>
  </si>
  <si>
    <r>
      <t>底板厚度</t>
    </r>
    <r>
      <rPr>
        <sz val="12"/>
        <rFont val="Times New Roman"/>
        <family val="1"/>
      </rPr>
      <t xml:space="preserve">  t</t>
    </r>
  </si>
  <si>
    <r>
      <t>靴梁高</t>
    </r>
    <r>
      <rPr>
        <sz val="12"/>
        <rFont val="Times New Roman"/>
        <family val="1"/>
      </rPr>
      <t xml:space="preserve">  h</t>
    </r>
  </si>
  <si>
    <r>
      <t>β</t>
    </r>
    <r>
      <rPr>
        <vertAlign val="subscript"/>
        <sz val="12"/>
        <rFont val="Times New Roman"/>
        <family val="1"/>
      </rPr>
      <t>f</t>
    </r>
  </si>
  <si>
    <r>
      <t>焊条</t>
    </r>
    <r>
      <rPr>
        <sz val="12"/>
        <rFont val="Times New Roman"/>
        <family val="1"/>
      </rPr>
      <t xml:space="preserve">  f</t>
    </r>
    <r>
      <rPr>
        <vertAlign val="superscript"/>
        <sz val="12"/>
        <rFont val="Times New Roman"/>
        <family val="1"/>
      </rPr>
      <t>w</t>
    </r>
    <r>
      <rPr>
        <vertAlign val="subscript"/>
        <sz val="12"/>
        <rFont val="Times New Roman"/>
        <family val="1"/>
      </rPr>
      <t>f</t>
    </r>
  </si>
  <si>
    <r>
      <t>焊缝高度</t>
    </r>
    <r>
      <rPr>
        <sz val="12"/>
        <rFont val="Times New Roman"/>
        <family val="1"/>
      </rPr>
      <t xml:space="preserve">  h</t>
    </r>
    <r>
      <rPr>
        <vertAlign val="subscript"/>
        <sz val="12"/>
        <rFont val="Times New Roman"/>
        <family val="1"/>
      </rPr>
      <t>f</t>
    </r>
  </si>
  <si>
    <r>
      <t xml:space="preserve">   </t>
    </r>
    <r>
      <rPr>
        <sz val="12"/>
        <rFont val="宋体"/>
        <family val="0"/>
      </rPr>
      <t>α</t>
    </r>
  </si>
  <si>
    <r>
      <t xml:space="preserve">柱底反力 </t>
    </r>
    <r>
      <rPr>
        <sz val="11"/>
        <rFont val="Times New Roman"/>
        <family val="1"/>
      </rPr>
      <t xml:space="preserve">F </t>
    </r>
  </si>
  <si>
    <r>
      <t xml:space="preserve">外伸长 </t>
    </r>
    <r>
      <rPr>
        <sz val="11"/>
        <rFont val="Times New Roman"/>
        <family val="1"/>
      </rPr>
      <t>e</t>
    </r>
  </si>
  <si>
    <t>Ix</t>
  </si>
  <si>
    <t>W1</t>
  </si>
  <si>
    <t>W2</t>
  </si>
  <si>
    <t>验算焊缝</t>
  </si>
  <si>
    <r>
      <t>H</t>
    </r>
    <r>
      <rPr>
        <vertAlign val="subscript"/>
        <sz val="11"/>
        <rFont val="Times New Roman"/>
        <family val="1"/>
      </rPr>
      <t xml:space="preserve">f   </t>
    </r>
    <r>
      <rPr>
        <sz val="11"/>
        <rFont val="Times New Roman"/>
        <family val="1"/>
      </rPr>
      <t>X  0,7</t>
    </r>
  </si>
  <si>
    <r>
      <t>正应力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σ</t>
    </r>
  </si>
  <si>
    <r>
      <t>剪应力</t>
    </r>
    <r>
      <rPr>
        <sz val="12"/>
        <rFont val="Times New Roman"/>
        <family val="1"/>
      </rPr>
      <t xml:space="preserve">  </t>
    </r>
    <r>
      <rPr>
        <sz val="11"/>
        <rFont val="宋体"/>
        <family val="0"/>
      </rPr>
      <t>τ</t>
    </r>
  </si>
  <si>
    <t>τ</t>
  </si>
  <si>
    <r>
      <t>σ</t>
    </r>
    <r>
      <rPr>
        <sz val="11"/>
        <rFont val="Times New Roman"/>
        <family val="1"/>
      </rPr>
      <t>1</t>
    </r>
  </si>
  <si>
    <r>
      <t>σ</t>
    </r>
    <r>
      <rPr>
        <sz val="11"/>
        <rFont val="Times New Roman"/>
        <family val="1"/>
      </rPr>
      <t>2</t>
    </r>
  </si>
  <si>
    <r>
      <t>折算应力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σ</t>
    </r>
    <r>
      <rPr>
        <vertAlign val="subscript"/>
        <sz val="11"/>
        <rFont val="Times New Roman"/>
        <family val="1"/>
      </rPr>
      <t>c</t>
    </r>
  </si>
  <si>
    <t>σc</t>
  </si>
  <si>
    <t>刚接柱脚计算</t>
  </si>
  <si>
    <t>M</t>
  </si>
  <si>
    <t>V</t>
  </si>
  <si>
    <t>P</t>
  </si>
  <si>
    <t>Nt1</t>
  </si>
  <si>
    <t>Nvb</t>
  </si>
  <si>
    <t>Ntb</t>
  </si>
  <si>
    <t>Nv</t>
  </si>
  <si>
    <t>N</t>
  </si>
  <si>
    <t>Uf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</si>
</sst>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_ 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vertAlign val="subscript"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1" fontId="0" fillId="0" borderId="11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Border="1" applyAlignment="1">
      <alignment/>
    </xf>
    <xf numFmtId="0" fontId="13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D2">
      <selection activeCell="E28" sqref="E28"/>
    </sheetView>
  </sheetViews>
  <sheetFormatPr defaultColWidth="9.00390625" defaultRowHeight="14.25"/>
  <cols>
    <col min="1" max="1" width="12.125" style="0" bestFit="1" customWidth="1"/>
    <col min="2" max="2" width="12.75390625" style="0" bestFit="1" customWidth="1"/>
    <col min="3" max="3" width="10.00390625" style="0" bestFit="1" customWidth="1"/>
    <col min="4" max="4" width="9.50390625" style="0" bestFit="1" customWidth="1"/>
    <col min="5" max="6" width="12.75390625" style="0" bestFit="1" customWidth="1"/>
    <col min="7" max="8" width="9.50390625" style="0" bestFit="1" customWidth="1"/>
    <col min="9" max="9" width="15.00390625" style="0" bestFit="1" customWidth="1"/>
    <col min="10" max="10" width="12.75390625" style="0" bestFit="1" customWidth="1"/>
    <col min="11" max="11" width="3.50390625" style="0" bestFit="1" customWidth="1"/>
    <col min="12" max="12" width="11.50390625" style="0" customWidth="1"/>
    <col min="13" max="14" width="9.125" style="0" bestFit="1" customWidth="1"/>
  </cols>
  <sheetData>
    <row r="1" spans="1:9" ht="16.5" thickBot="1">
      <c r="A1" s="58" t="s">
        <v>11</v>
      </c>
      <c r="B1" s="59"/>
      <c r="I1" s="42" t="s">
        <v>52</v>
      </c>
    </row>
    <row r="2" spans="1:15" ht="15.75">
      <c r="A2" s="25" t="s">
        <v>10</v>
      </c>
      <c r="B2" s="45">
        <v>315</v>
      </c>
      <c r="C2" s="45">
        <v>175</v>
      </c>
      <c r="D2" s="5"/>
      <c r="E2" s="5"/>
      <c r="F2" s="6"/>
      <c r="I2" s="29" t="s">
        <v>22</v>
      </c>
      <c r="J2" s="37">
        <v>900000</v>
      </c>
      <c r="K2" s="30"/>
      <c r="L2" s="30" t="s">
        <v>33</v>
      </c>
      <c r="M2" s="30">
        <v>300</v>
      </c>
      <c r="N2" s="30"/>
      <c r="O2" s="31"/>
    </row>
    <row r="3" spans="1:15" ht="18.75">
      <c r="A3" s="23" t="s">
        <v>38</v>
      </c>
      <c r="B3" s="28">
        <v>601000</v>
      </c>
      <c r="C3" s="2" t="s">
        <v>1</v>
      </c>
      <c r="D3" s="28">
        <v>300</v>
      </c>
      <c r="E3" s="2" t="s">
        <v>7</v>
      </c>
      <c r="F3" s="50">
        <v>500</v>
      </c>
      <c r="G3" s="1"/>
      <c r="H3" s="1"/>
      <c r="I3" s="32" t="s">
        <v>23</v>
      </c>
      <c r="J3" s="17">
        <v>400</v>
      </c>
      <c r="K3" s="17"/>
      <c r="L3" s="17" t="s">
        <v>34</v>
      </c>
      <c r="M3" s="17">
        <v>1.22</v>
      </c>
      <c r="N3" s="17"/>
      <c r="O3" s="33"/>
    </row>
    <row r="4" spans="1:15" ht="20.25">
      <c r="A4" s="23" t="s">
        <v>39</v>
      </c>
      <c r="B4" s="28">
        <v>300</v>
      </c>
      <c r="C4" s="2" t="s">
        <v>2</v>
      </c>
      <c r="D4" s="28">
        <v>14</v>
      </c>
      <c r="E4" s="2" t="s">
        <v>3</v>
      </c>
      <c r="F4" s="50">
        <v>10</v>
      </c>
      <c r="G4" s="1"/>
      <c r="H4" s="1"/>
      <c r="I4" s="32" t="s">
        <v>24</v>
      </c>
      <c r="J4" s="17">
        <v>800</v>
      </c>
      <c r="K4" s="17"/>
      <c r="L4" s="17" t="s">
        <v>35</v>
      </c>
      <c r="M4" s="17">
        <v>200</v>
      </c>
      <c r="N4" s="17"/>
      <c r="O4" s="33"/>
    </row>
    <row r="5" spans="1:15" ht="18.75">
      <c r="A5" s="26" t="s">
        <v>0</v>
      </c>
      <c r="B5" s="46">
        <f>B3*B4</f>
        <v>180300000</v>
      </c>
      <c r="C5" s="3" t="s">
        <v>4</v>
      </c>
      <c r="D5" s="46">
        <f>D3*D4</f>
        <v>4200</v>
      </c>
      <c r="E5" s="3" t="s">
        <v>5</v>
      </c>
      <c r="F5" s="51">
        <f>F3*F4</f>
        <v>5000</v>
      </c>
      <c r="G5" s="1"/>
      <c r="H5" s="1"/>
      <c r="I5" s="32" t="s">
        <v>25</v>
      </c>
      <c r="J5" s="17">
        <v>10.5</v>
      </c>
      <c r="K5" s="17"/>
      <c r="L5" s="17" t="s">
        <v>36</v>
      </c>
      <c r="M5" s="44">
        <f>J2/0.7/M3/M4/M2/4</f>
        <v>4.391100702576112</v>
      </c>
      <c r="N5" s="17"/>
      <c r="O5" s="33"/>
    </row>
    <row r="6" spans="1:15" ht="16.5">
      <c r="A6" s="23"/>
      <c r="B6" s="28"/>
      <c r="C6" s="2"/>
      <c r="D6" s="4" t="s">
        <v>43</v>
      </c>
      <c r="E6" s="53" t="s">
        <v>44</v>
      </c>
      <c r="F6" s="50">
        <v>7</v>
      </c>
      <c r="G6" s="1"/>
      <c r="H6" s="1"/>
      <c r="I6" s="32" t="s">
        <v>26</v>
      </c>
      <c r="J6" s="43">
        <f>J2/J3/J4</f>
        <v>2.8125</v>
      </c>
      <c r="K6" s="39" t="str">
        <f>IF(J6&lt;J5,"OK","NO")</f>
        <v>OK</v>
      </c>
      <c r="L6" s="17"/>
      <c r="M6" s="17"/>
      <c r="N6" s="17"/>
      <c r="O6" s="33"/>
    </row>
    <row r="7" spans="1:15" ht="15.75">
      <c r="A7" s="23" t="s">
        <v>6</v>
      </c>
      <c r="B7" s="52">
        <f>D3*F3^3/12-(D3-F4)*(F3-2*D4)^3/12</f>
        <v>583777173.3333335</v>
      </c>
      <c r="C7" s="2"/>
      <c r="D7" s="18" t="s">
        <v>40</v>
      </c>
      <c r="E7" s="2">
        <f>2*F6*D3*(F3/2+F6/2)^2+2*F6*D3*((F3-2*D4)/2-F6/2)^2+(F3/2)^3/6*F6</f>
        <v>515166866.6666667</v>
      </c>
      <c r="F7" s="50"/>
      <c r="G7" s="1"/>
      <c r="H7" s="1"/>
      <c r="I7" s="40" t="s">
        <v>37</v>
      </c>
      <c r="J7" s="17">
        <v>0.125</v>
      </c>
      <c r="K7" s="17"/>
      <c r="L7" s="17"/>
      <c r="M7" s="17"/>
      <c r="N7" s="17"/>
      <c r="O7" s="33"/>
    </row>
    <row r="8" spans="1:15" ht="15.75">
      <c r="A8" s="23" t="s">
        <v>8</v>
      </c>
      <c r="B8" s="47">
        <f>D3*(F3/2-D4/2)*D4+F4*(F3/2-D4/2)^2/2</f>
        <v>1315845</v>
      </c>
      <c r="C8" s="2"/>
      <c r="D8" s="18" t="s">
        <v>41</v>
      </c>
      <c r="E8" s="2">
        <f>E7/(F3/2+F6/2)</f>
        <v>2032216.4365548983</v>
      </c>
      <c r="F8" s="50"/>
      <c r="G8" s="1"/>
      <c r="H8" s="1"/>
      <c r="I8" s="40" t="s">
        <v>27</v>
      </c>
      <c r="J8" s="43">
        <f>J6</f>
        <v>2.8125</v>
      </c>
      <c r="K8" s="17"/>
      <c r="L8" s="17"/>
      <c r="M8" s="17"/>
      <c r="N8" s="17"/>
      <c r="O8" s="33"/>
    </row>
    <row r="9" spans="1:15" ht="15.75">
      <c r="A9" s="23" t="s">
        <v>45</v>
      </c>
      <c r="B9" s="48">
        <f>B5/B7*F3/2</f>
        <v>77.21267986999969</v>
      </c>
      <c r="C9" s="4" t="str">
        <f>IF(B9&lt;B2,"OK","NO")</f>
        <v>OK</v>
      </c>
      <c r="D9" s="18" t="s">
        <v>42</v>
      </c>
      <c r="E9" s="2">
        <f>E7/((F3-2*D4)/2-F6/2)</f>
        <v>2215771.46953405</v>
      </c>
      <c r="F9" s="50"/>
      <c r="G9" s="1"/>
      <c r="H9" s="1"/>
      <c r="I9" s="32" t="s">
        <v>29</v>
      </c>
      <c r="J9" s="17">
        <v>180</v>
      </c>
      <c r="K9" s="17"/>
      <c r="L9" s="17"/>
      <c r="M9" s="17"/>
      <c r="N9" s="17"/>
      <c r="O9" s="33"/>
    </row>
    <row r="10" spans="1:15" ht="15.75">
      <c r="A10" s="24" t="s">
        <v>46</v>
      </c>
      <c r="B10" s="48">
        <f>B3*B8/B7/F4</f>
        <v>135.46655832471964</v>
      </c>
      <c r="C10" s="4" t="str">
        <f>IF(B10&lt;C2,"OK","NO")</f>
        <v>OK</v>
      </c>
      <c r="D10" s="28" t="s">
        <v>48</v>
      </c>
      <c r="E10" s="28">
        <f>B5/E8</f>
        <v>88.72086494175414</v>
      </c>
      <c r="F10" s="50"/>
      <c r="G10" s="1"/>
      <c r="H10" s="1"/>
      <c r="I10" s="32" t="s">
        <v>28</v>
      </c>
      <c r="J10" s="38">
        <f>J7*J8*J9*J9</f>
        <v>11390.625</v>
      </c>
      <c r="K10" s="17"/>
      <c r="L10" s="17"/>
      <c r="M10" s="17"/>
      <c r="N10" s="17"/>
      <c r="O10" s="33"/>
    </row>
    <row r="11" spans="1:15" ht="16.5">
      <c r="A11" s="23" t="s">
        <v>50</v>
      </c>
      <c r="B11" s="48">
        <f>SQRT(B9*B9+3*B10*B10)/1.1</f>
        <v>224.55716422493555</v>
      </c>
      <c r="C11" s="4" t="str">
        <f>IF(B11&lt;B2,"OK","NO")</f>
        <v>OK</v>
      </c>
      <c r="D11" s="28" t="s">
        <v>49</v>
      </c>
      <c r="E11" s="28">
        <f>B5/E9</f>
        <v>81.37120749095794</v>
      </c>
      <c r="F11" s="7"/>
      <c r="G11" s="1"/>
      <c r="H11" s="1"/>
      <c r="I11" s="32" t="s">
        <v>30</v>
      </c>
      <c r="J11" s="17">
        <v>1.2</v>
      </c>
      <c r="K11" s="17"/>
      <c r="L11" s="17"/>
      <c r="M11" s="17"/>
      <c r="N11" s="17"/>
      <c r="O11" s="33"/>
    </row>
    <row r="12" spans="4:15" ht="15.75">
      <c r="D12" s="28" t="s">
        <v>47</v>
      </c>
      <c r="E12" s="2">
        <f>B3/(2*F6*F3)</f>
        <v>85.85714285714286</v>
      </c>
      <c r="F12" s="7"/>
      <c r="G12" s="1"/>
      <c r="H12" s="1"/>
      <c r="I12" s="32" t="s">
        <v>31</v>
      </c>
      <c r="J12" s="17">
        <v>215</v>
      </c>
      <c r="K12" s="17"/>
      <c r="L12" s="17"/>
      <c r="M12" s="17"/>
      <c r="N12" s="17"/>
      <c r="O12" s="33"/>
    </row>
    <row r="13" spans="1:15" ht="16.5" thickBot="1">
      <c r="A13" s="27" t="s">
        <v>9</v>
      </c>
      <c r="B13" s="8"/>
      <c r="C13" s="8" t="b">
        <f>AND(B9&lt;B2,B10&lt;C2,B11&lt;B2)</f>
        <v>1</v>
      </c>
      <c r="D13" s="49" t="s">
        <v>51</v>
      </c>
      <c r="E13" s="9">
        <f>SQRT(E11^2+E12^2)</f>
        <v>118.29083814111881</v>
      </c>
      <c r="F13" s="10"/>
      <c r="G13" s="1"/>
      <c r="H13" s="1"/>
      <c r="I13" s="32" t="s">
        <v>32</v>
      </c>
      <c r="J13" s="41">
        <f>SQRT(6*J10/J11/J12)</f>
        <v>16.27569524825141</v>
      </c>
      <c r="K13" s="17"/>
      <c r="L13" s="17"/>
      <c r="M13" s="17"/>
      <c r="N13" s="17"/>
      <c r="O13" s="33"/>
    </row>
    <row r="14" spans="1:15" ht="15" thickBot="1">
      <c r="A14" s="1"/>
      <c r="B14" s="1"/>
      <c r="C14" s="1"/>
      <c r="D14" s="1"/>
      <c r="E14" s="1"/>
      <c r="F14" s="1"/>
      <c r="G14" s="1"/>
      <c r="H14" s="1"/>
      <c r="I14" s="34"/>
      <c r="J14" s="35"/>
      <c r="K14" s="35"/>
      <c r="L14" s="35"/>
      <c r="M14" s="35"/>
      <c r="N14" s="35"/>
      <c r="O14" s="36"/>
    </row>
    <row r="15" spans="1:8" ht="15.75">
      <c r="A15" s="12" t="s">
        <v>21</v>
      </c>
      <c r="B15" s="60" t="s">
        <v>20</v>
      </c>
      <c r="C15" s="61"/>
      <c r="D15" s="61"/>
      <c r="E15" s="61"/>
      <c r="F15" s="61"/>
      <c r="G15" s="62"/>
      <c r="H15" s="1"/>
    </row>
    <row r="16" spans="1:8" ht="15.75">
      <c r="A16" s="13"/>
      <c r="B16" s="18" t="s">
        <v>12</v>
      </c>
      <c r="C16" s="19" t="s">
        <v>13</v>
      </c>
      <c r="D16" s="19" t="s">
        <v>14</v>
      </c>
      <c r="E16" s="19" t="s">
        <v>15</v>
      </c>
      <c r="F16" s="19" t="s">
        <v>16</v>
      </c>
      <c r="G16" s="20" t="s">
        <v>17</v>
      </c>
      <c r="H16" s="1"/>
    </row>
    <row r="17" spans="1:8" ht="15.75">
      <c r="A17" s="21" t="s">
        <v>18</v>
      </c>
      <c r="B17" s="11">
        <v>70</v>
      </c>
      <c r="C17" s="11">
        <v>110</v>
      </c>
      <c r="D17" s="11">
        <v>135</v>
      </c>
      <c r="E17" s="11">
        <v>155</v>
      </c>
      <c r="F17" s="11">
        <v>205</v>
      </c>
      <c r="G17" s="14">
        <v>250</v>
      </c>
      <c r="H17" s="1"/>
    </row>
    <row r="18" spans="1:8" ht="16.5" thickBot="1">
      <c r="A18" s="22" t="s">
        <v>19</v>
      </c>
      <c r="B18" s="15">
        <v>100</v>
      </c>
      <c r="C18" s="15">
        <v>155</v>
      </c>
      <c r="D18" s="15">
        <v>190</v>
      </c>
      <c r="E18" s="15">
        <v>225</v>
      </c>
      <c r="F18" s="15">
        <v>290</v>
      </c>
      <c r="G18" s="16">
        <v>355</v>
      </c>
      <c r="H18" s="1"/>
    </row>
    <row r="19" spans="1:8" ht="14.25">
      <c r="A19" s="17"/>
      <c r="B19" s="17"/>
      <c r="C19" s="17"/>
      <c r="D19" s="17"/>
      <c r="E19" s="1"/>
      <c r="F19" s="1"/>
      <c r="G19" s="1"/>
      <c r="H19" s="1"/>
    </row>
    <row r="20" spans="1:9" ht="15.75">
      <c r="A20" s="54" t="s">
        <v>53</v>
      </c>
      <c r="B20" s="54" t="s">
        <v>54</v>
      </c>
      <c r="C20" s="55" t="s">
        <v>55</v>
      </c>
      <c r="D20" s="55" t="s">
        <v>60</v>
      </c>
      <c r="E20" s="55" t="s">
        <v>61</v>
      </c>
      <c r="F20" s="55" t="s">
        <v>56</v>
      </c>
      <c r="G20" s="55" t="s">
        <v>57</v>
      </c>
      <c r="H20" s="55" t="s">
        <v>58</v>
      </c>
      <c r="I20" s="55" t="s">
        <v>59</v>
      </c>
    </row>
    <row r="21" spans="1:10" ht="14.25">
      <c r="A21" s="38">
        <v>310000000</v>
      </c>
      <c r="B21" s="38">
        <v>63000</v>
      </c>
      <c r="C21" s="38">
        <v>225000</v>
      </c>
      <c r="D21" s="38">
        <v>14</v>
      </c>
      <c r="E21" s="38">
        <v>0.35</v>
      </c>
      <c r="F21" s="38">
        <f>A21*310/(310^2+190^2+110^2)/4</f>
        <v>166493.4164934165</v>
      </c>
      <c r="G21" s="38">
        <f>0.9*E21*C21</f>
        <v>70875</v>
      </c>
      <c r="H21" s="38">
        <f>0.8*C21</f>
        <v>180000</v>
      </c>
      <c r="I21" s="38">
        <f>B21/D21</f>
        <v>4500</v>
      </c>
      <c r="J21" s="38">
        <f>I21/G21+F21/H21</f>
        <v>0.9884554884554885</v>
      </c>
    </row>
    <row r="22" spans="1:10" ht="14.25">
      <c r="A22" s="38">
        <v>370000000</v>
      </c>
      <c r="B22" s="38">
        <v>260000</v>
      </c>
      <c r="C22" s="38">
        <v>155000</v>
      </c>
      <c r="D22" s="38">
        <v>20</v>
      </c>
      <c r="E22" s="38">
        <v>0.35</v>
      </c>
      <c r="F22" s="38">
        <f>A22*500/(90^2+170^2+250^2+400^2+500^2)/4</f>
        <v>90775.26987242395</v>
      </c>
      <c r="G22" s="38">
        <f>0.9*E22*C22</f>
        <v>48825</v>
      </c>
      <c r="H22" s="38">
        <f>0.8*C22</f>
        <v>124000</v>
      </c>
      <c r="I22" s="38">
        <f>B22/D22</f>
        <v>13000</v>
      </c>
      <c r="J22" s="38">
        <f>I22/G22+F22/H22</f>
        <v>0.9983156684540078</v>
      </c>
    </row>
    <row r="23" spans="1:10" ht="14.25">
      <c r="A23" s="38">
        <v>49500000</v>
      </c>
      <c r="B23" s="38">
        <v>25649</v>
      </c>
      <c r="C23" s="38">
        <v>155000</v>
      </c>
      <c r="D23" s="38">
        <v>8</v>
      </c>
      <c r="E23" s="38">
        <v>0.35</v>
      </c>
      <c r="F23" s="38">
        <f>A23*225/(105^2+225^2)/4</f>
        <v>45164.233576642335</v>
      </c>
      <c r="G23" s="38">
        <f>0.9*E23*C23</f>
        <v>48825</v>
      </c>
      <c r="H23" s="38">
        <f>0.8*C23</f>
        <v>124000</v>
      </c>
      <c r="I23" s="38">
        <f>B23/D23</f>
        <v>3206.125</v>
      </c>
      <c r="J23" s="38">
        <f>I23/G23+F23/H23</f>
        <v>0.4298933327353388</v>
      </c>
    </row>
    <row r="24" spans="1:10" ht="14.25">
      <c r="A24" s="38">
        <v>716000000</v>
      </c>
      <c r="B24" s="38">
        <v>137000</v>
      </c>
      <c r="C24" s="38">
        <v>225000</v>
      </c>
      <c r="D24" s="38">
        <v>18</v>
      </c>
      <c r="E24" s="38">
        <v>0.35</v>
      </c>
      <c r="F24" s="38">
        <f>A24*560/(560^2+440^2+360^2+280^2)/4</f>
        <v>140156.5995525727</v>
      </c>
      <c r="G24" s="38">
        <f>0.9*E24*C24</f>
        <v>70875</v>
      </c>
      <c r="H24" s="38">
        <f>0.8*C24</f>
        <v>180000</v>
      </c>
      <c r="I24" s="38">
        <f>B24/D24</f>
        <v>7611.111111111111</v>
      </c>
      <c r="J24" s="38">
        <f>I24/G24+F24/H24</f>
        <v>0.8860355863835854</v>
      </c>
    </row>
    <row r="25" spans="1:10" ht="14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4.25">
      <c r="A26" s="38"/>
      <c r="B26" s="38"/>
      <c r="C26" s="38"/>
      <c r="F26" s="56"/>
      <c r="G26" s="56"/>
      <c r="H26" s="56"/>
      <c r="I26" s="56"/>
      <c r="J26" s="56"/>
    </row>
    <row r="27" spans="1:10" ht="14.25">
      <c r="A27" s="38">
        <v>188700000</v>
      </c>
      <c r="B27" s="38">
        <v>0</v>
      </c>
      <c r="C27" s="38">
        <v>155000</v>
      </c>
      <c r="D27" s="57">
        <v>20</v>
      </c>
      <c r="E27" s="57">
        <v>0.35</v>
      </c>
      <c r="F27" s="56">
        <f>A27*450/(450^2+350^2+270^2+190^2+110^2)/4</f>
        <v>47587.42434431742</v>
      </c>
      <c r="G27" s="57">
        <f>0.9*E27*C27</f>
        <v>48825</v>
      </c>
      <c r="H27" s="57">
        <f>0.8*C27</f>
        <v>124000</v>
      </c>
      <c r="I27" s="57">
        <f>B27/D27</f>
        <v>0</v>
      </c>
      <c r="J27" s="56">
        <f>I27/G27+F27/H27</f>
        <v>0.38376955116385014</v>
      </c>
    </row>
    <row r="28" spans="1:10" ht="14.25">
      <c r="A28" s="38">
        <v>18200000</v>
      </c>
      <c r="B28" s="38">
        <v>34600</v>
      </c>
      <c r="C28" s="38">
        <v>155000</v>
      </c>
      <c r="D28" s="57">
        <v>12</v>
      </c>
      <c r="E28" s="57">
        <v>0.35</v>
      </c>
      <c r="F28" s="56">
        <f>A28*300/(300^2+200^2+120^2)/4</f>
        <v>9452.908587257618</v>
      </c>
      <c r="G28" s="57">
        <f>0.9*E28*C28</f>
        <v>48825</v>
      </c>
      <c r="H28" s="57">
        <f>0.8*C28</f>
        <v>124000</v>
      </c>
      <c r="I28" s="57">
        <f>B28/D28</f>
        <v>2883.3333333333335</v>
      </c>
      <c r="J28" s="56">
        <f>I28/G28+F28/H28</f>
        <v>0.13528757991942694</v>
      </c>
    </row>
    <row r="29" spans="1:10" ht="14.25">
      <c r="A29" s="38">
        <v>145000000</v>
      </c>
      <c r="B29" s="38">
        <v>0</v>
      </c>
      <c r="C29" s="38">
        <v>155000</v>
      </c>
      <c r="D29" s="57">
        <v>16</v>
      </c>
      <c r="E29" s="57">
        <v>0.35</v>
      </c>
      <c r="F29" s="56">
        <f>A29*300/(300^2*4)</f>
        <v>120833.33333333333</v>
      </c>
      <c r="G29" s="57">
        <f>0.9*E29*C29</f>
        <v>48825</v>
      </c>
      <c r="H29" s="57">
        <f>0.8*C29</f>
        <v>124000</v>
      </c>
      <c r="I29" s="57">
        <f>B29/D29</f>
        <v>0</v>
      </c>
      <c r="J29" s="56">
        <f>I29/G29+F29/H29</f>
        <v>0.9744623655913978</v>
      </c>
    </row>
    <row r="30" spans="1:10" ht="14.25">
      <c r="A30" s="38">
        <v>146700000</v>
      </c>
      <c r="B30" s="38">
        <v>83100</v>
      </c>
      <c r="C30" s="38">
        <v>155000</v>
      </c>
      <c r="D30" s="57">
        <v>16</v>
      </c>
      <c r="E30" s="57">
        <v>0.35</v>
      </c>
      <c r="F30" s="56">
        <f>A30*300/(300^2+200^2+120^2)/4</f>
        <v>76194.59833795014</v>
      </c>
      <c r="G30" s="57">
        <f>0.9*E30*C30</f>
        <v>48825</v>
      </c>
      <c r="H30" s="57">
        <f>0.8*C30</f>
        <v>124000</v>
      </c>
      <c r="I30" s="57">
        <f>B30/D30</f>
        <v>5193.75</v>
      </c>
      <c r="J30" s="56">
        <f>I30/G30+F30/H30</f>
        <v>0.7208473752292447</v>
      </c>
    </row>
    <row r="31" spans="1:10" ht="14.25">
      <c r="A31" s="38">
        <v>313900000</v>
      </c>
      <c r="B31" s="38">
        <v>83092</v>
      </c>
      <c r="C31" s="38">
        <v>155000</v>
      </c>
      <c r="D31" s="57">
        <v>16</v>
      </c>
      <c r="E31" s="57">
        <v>0.35</v>
      </c>
      <c r="F31" s="56">
        <f>A31*450/(450^2+350^2+270^2+190^2+110^2)/4</f>
        <v>79161.06254203094</v>
      </c>
      <c r="G31" s="57">
        <f>0.9*E31*C31</f>
        <v>48825</v>
      </c>
      <c r="H31" s="57">
        <f>0.8*C31</f>
        <v>124000</v>
      </c>
      <c r="I31" s="57">
        <f>B31/D31</f>
        <v>5193.25</v>
      </c>
      <c r="J31" s="56">
        <f>I31/G31+F31/H31</f>
        <v>0.7447602329938491</v>
      </c>
    </row>
    <row r="32" spans="1:10" ht="14.25">
      <c r="A32" s="38"/>
      <c r="B32" s="38"/>
      <c r="C32" s="38"/>
      <c r="D32" s="57"/>
      <c r="E32" s="57"/>
      <c r="F32" s="56"/>
      <c r="G32" s="57"/>
      <c r="H32" s="57"/>
      <c r="I32" s="56"/>
      <c r="J32" s="56"/>
    </row>
    <row r="33" spans="1:10" ht="14.25">
      <c r="A33" s="38"/>
      <c r="B33" s="38"/>
      <c r="C33" s="56"/>
      <c r="F33" s="56"/>
      <c r="G33" s="56"/>
      <c r="H33" s="56"/>
      <c r="I33" s="56"/>
      <c r="J33" s="56"/>
    </row>
    <row r="34" spans="1:10" ht="14.25">
      <c r="A34" s="38"/>
      <c r="B34" s="38"/>
      <c r="C34" s="56"/>
      <c r="F34" s="56"/>
      <c r="G34" s="56"/>
      <c r="H34" s="56"/>
      <c r="I34" s="56"/>
      <c r="J34" s="56"/>
    </row>
    <row r="35" spans="1:6" ht="14.25">
      <c r="A35" s="17"/>
      <c r="B35" s="17"/>
      <c r="C35" s="17"/>
      <c r="D35" s="17"/>
      <c r="E35" s="17"/>
      <c r="F35" s="17"/>
    </row>
    <row r="36" spans="1:6" ht="14.25">
      <c r="A36" s="17"/>
      <c r="B36" s="17"/>
      <c r="C36" s="17"/>
      <c r="D36" s="17"/>
      <c r="E36" s="17"/>
      <c r="F36" s="17"/>
    </row>
    <row r="37" spans="1:6" ht="14.25">
      <c r="A37" s="17"/>
      <c r="B37" s="17"/>
      <c r="C37" s="17"/>
      <c r="D37" s="17"/>
      <c r="F37" s="17"/>
    </row>
    <row r="38" spans="1:6" ht="14.25">
      <c r="A38" s="17"/>
      <c r="B38" s="17"/>
      <c r="C38" s="17"/>
      <c r="D38" s="17"/>
      <c r="F38" s="17"/>
    </row>
    <row r="39" spans="1:6" ht="14.25">
      <c r="A39" s="17"/>
      <c r="B39" s="17"/>
      <c r="C39" s="17"/>
      <c r="D39" s="17"/>
      <c r="E39" s="17"/>
      <c r="F39" s="17"/>
    </row>
    <row r="40" spans="1:6" ht="14.25">
      <c r="A40" s="17"/>
      <c r="B40" s="17"/>
      <c r="C40" s="17"/>
      <c r="D40" s="17"/>
      <c r="E40" s="17"/>
      <c r="F40" s="17"/>
    </row>
    <row r="41" spans="1:6" ht="14.25">
      <c r="A41" s="17"/>
      <c r="B41" s="17"/>
      <c r="C41" s="17"/>
      <c r="D41" s="17"/>
      <c r="E41" s="17"/>
      <c r="F41" s="17"/>
    </row>
    <row r="42" spans="4:6" ht="14.25">
      <c r="D42" s="17"/>
      <c r="E42" s="17"/>
      <c r="F42" s="17"/>
    </row>
  </sheetData>
  <mergeCells count="2">
    <mergeCell ref="A1:B1"/>
    <mergeCell ref="B15:G15"/>
  </mergeCells>
  <printOptions/>
  <pageMargins left="0.75" right="0.75" top="1" bottom="1" header="0.5" footer="0.5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C31" sqref="C31"/>
    </sheetView>
  </sheetViews>
  <sheetFormatPr defaultColWidth="9.00390625" defaultRowHeight="14.25"/>
  <sheetData>
    <row r="1" ht="14.25">
      <c r="A1">
        <f>500-750</f>
        <v>-250</v>
      </c>
    </row>
    <row r="2" ht="14.25">
      <c r="A2">
        <f>80+400+80</f>
        <v>560</v>
      </c>
    </row>
    <row r="3" ht="14.25">
      <c r="A3">
        <f>750-A2</f>
        <v>190</v>
      </c>
    </row>
    <row r="4" ht="14.25">
      <c r="A4">
        <f>300-280</f>
        <v>20</v>
      </c>
    </row>
    <row r="5" ht="14.25">
      <c r="A5">
        <f>900+160+260</f>
        <v>1320</v>
      </c>
    </row>
    <row r="6" ht="14.25">
      <c r="A6">
        <f>80+100+100</f>
        <v>280</v>
      </c>
    </row>
    <row r="7" ht="14.25">
      <c r="A7">
        <f>450-A6</f>
        <v>170</v>
      </c>
    </row>
    <row r="8" ht="14.25">
      <c r="A8">
        <f>150+180</f>
        <v>330</v>
      </c>
    </row>
    <row r="9" ht="14.25">
      <c r="A9">
        <f>320+60</f>
        <v>380</v>
      </c>
    </row>
    <row r="10" ht="14.25">
      <c r="A10">
        <f>600-A9</f>
        <v>220</v>
      </c>
    </row>
    <row r="11" ht="14.25">
      <c r="A11">
        <f>60+80+80+60</f>
        <v>280</v>
      </c>
    </row>
    <row r="12" ht="14.25">
      <c r="A12">
        <f>60+80+80</f>
        <v>220</v>
      </c>
    </row>
    <row r="13" ht="14.25">
      <c r="A13">
        <f>150+80</f>
        <v>230</v>
      </c>
    </row>
    <row r="14" ht="14.25">
      <c r="A14">
        <f>60+90*4+60</f>
        <v>480</v>
      </c>
    </row>
    <row r="15" ht="14.25">
      <c r="A15">
        <f>750-A14</f>
        <v>270</v>
      </c>
    </row>
    <row r="16" ht="14.25">
      <c r="A16">
        <f>60+80+80</f>
        <v>220</v>
      </c>
    </row>
    <row r="17" ht="14.25">
      <c r="A17">
        <f>450-A16</f>
        <v>230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ljz</cp:lastModifiedBy>
  <dcterms:created xsi:type="dcterms:W3CDTF">1999-07-18T09:14:51Z</dcterms:created>
  <dcterms:modified xsi:type="dcterms:W3CDTF">2003-12-03T13:07:28Z</dcterms:modified>
  <cp:category/>
  <cp:version/>
  <cp:contentType/>
  <cp:contentStatus/>
</cp:coreProperties>
</file>