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505" activeTab="0"/>
  </bookViews>
  <sheets>
    <sheet name="水头损失" sheetId="1" r:id="rId1"/>
    <sheet name="稳定计算" sheetId="2" r:id="rId2"/>
  </sheets>
  <definedNames/>
  <calcPr fullCalcOnLoad="1"/>
</workbook>
</file>

<file path=xl/sharedStrings.xml><?xml version="1.0" encoding="utf-8"?>
<sst xmlns="http://schemas.openxmlformats.org/spreadsheetml/2006/main" count="77" uniqueCount="67">
  <si>
    <t>一、基本参数</t>
  </si>
  <si>
    <t>m3/s</t>
  </si>
  <si>
    <t>m</t>
  </si>
  <si>
    <t>二、计算过程</t>
  </si>
  <si>
    <t>渠道内水深</t>
  </si>
  <si>
    <t>过水流量</t>
  </si>
  <si>
    <t>渠道底宽</t>
  </si>
  <si>
    <t>渠道顶宽</t>
  </si>
  <si>
    <t>渠道纵坡</t>
  </si>
  <si>
    <t>上游底高程</t>
  </si>
  <si>
    <t>下游底高程</t>
  </si>
  <si>
    <t>试算流量</t>
  </si>
  <si>
    <t>m3/s</t>
  </si>
  <si>
    <t>糙率系数</t>
  </si>
  <si>
    <t>拟选用管径</t>
  </si>
  <si>
    <t>mm</t>
  </si>
  <si>
    <t>管断面积</t>
  </si>
  <si>
    <t>m2</t>
  </si>
  <si>
    <t>管内水流速</t>
  </si>
  <si>
    <t>m/s</t>
  </si>
  <si>
    <t>局损系数</t>
  </si>
  <si>
    <r>
      <t>v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/2g</t>
    </r>
  </si>
  <si>
    <t>进口直角进口</t>
  </si>
  <si>
    <t>出口直角</t>
  </si>
  <si>
    <t>转弯</t>
  </si>
  <si>
    <t>局损</t>
  </si>
  <si>
    <t>水头损失计算</t>
  </si>
  <si>
    <t>沿程水头损失</t>
  </si>
  <si>
    <t>m</t>
  </si>
  <si>
    <t>C</t>
  </si>
  <si>
    <t>n</t>
  </si>
  <si>
    <t>R(m)</t>
  </si>
  <si>
    <t>谢才系数</t>
  </si>
  <si>
    <t>水力半径</t>
  </si>
  <si>
    <t>糙率</t>
  </si>
  <si>
    <t>管材长度</t>
  </si>
  <si>
    <t>沿程水头损失</t>
  </si>
  <si>
    <t>水头损失</t>
  </si>
  <si>
    <t>故上游渠顶需比下游高</t>
  </si>
  <si>
    <t>cm</t>
  </si>
  <si>
    <t>小计</t>
  </si>
  <si>
    <t>进口侧</t>
  </si>
  <si>
    <t>一、基本数据</t>
  </si>
  <si>
    <t>管重</t>
  </si>
  <si>
    <t>水重</t>
  </si>
  <si>
    <t>选用管材</t>
  </si>
  <si>
    <t>DN</t>
  </si>
  <si>
    <r>
      <t>kg/</t>
    </r>
    <r>
      <rPr>
        <sz val="10"/>
        <rFont val="宋体"/>
        <family val="0"/>
      </rPr>
      <t>根</t>
    </r>
  </si>
  <si>
    <t>山体坡度</t>
  </si>
  <si>
    <t>度</t>
  </si>
  <si>
    <t>需要砼管</t>
  </si>
  <si>
    <t>根</t>
  </si>
  <si>
    <t>滑动力</t>
  </si>
  <si>
    <t>kg</t>
  </si>
  <si>
    <t>垂直山体力</t>
  </si>
  <si>
    <t>粘结力</t>
  </si>
  <si>
    <t>kg/cm2</t>
  </si>
  <si>
    <t>开挖宽度</t>
  </si>
  <si>
    <t>摩擦系数</t>
  </si>
  <si>
    <r>
      <t>根据</t>
    </r>
    <r>
      <rPr>
        <sz val="12"/>
        <rFont val="Times New Roman"/>
        <family val="1"/>
      </rPr>
      <t>Q=</t>
    </r>
    <r>
      <rPr>
        <sz val="12"/>
        <rFont val="宋体"/>
        <family val="0"/>
      </rPr>
      <t>μω</t>
    </r>
    <r>
      <rPr>
        <sz val="12"/>
        <rFont val="Times New Roman"/>
        <family val="1"/>
      </rPr>
      <t>*sqrt(2gh)</t>
    </r>
  </si>
  <si>
    <r>
      <t>μ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流量系数</t>
    </r>
  </si>
  <si>
    <r>
      <t>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断面积</t>
    </r>
  </si>
  <si>
    <t>取0.85</t>
  </si>
  <si>
    <r>
      <t>600</t>
    </r>
    <r>
      <rPr>
        <sz val="12"/>
        <rFont val="宋体"/>
        <family val="0"/>
      </rPr>
      <t>管可过水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流量</t>
    </r>
  </si>
  <si>
    <r>
      <t>施工图时取</t>
    </r>
    <r>
      <rPr>
        <sz val="12"/>
        <rFont val="Times New Roman"/>
        <family val="1"/>
      </rPr>
      <t>600</t>
    </r>
    <r>
      <rPr>
        <sz val="12"/>
        <rFont val="宋体"/>
        <family val="0"/>
      </rPr>
      <t>砼管</t>
    </r>
  </si>
  <si>
    <t>倒虹吸计算</t>
  </si>
  <si>
    <t>抗滑稳定安全系数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</si>
</sst>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0.000_);[Red]\(0.000\)"/>
    <numFmt numFmtId="182" formatCode="0.000000000000000_);[Red]\(0.000000000000000\)"/>
    <numFmt numFmtId="183" formatCode="0.00000000000000_);[Red]\(0.00000000000000\)"/>
    <numFmt numFmtId="184" formatCode="0.0000000000000_);[Red]\(0.0000000000000\)"/>
    <numFmt numFmtId="185" formatCode="0.000000000000_);[Red]\(0.000000000000\)"/>
    <numFmt numFmtId="186" formatCode="0.00000000000_);[Red]\(0.00000000000\)"/>
    <numFmt numFmtId="187" formatCode="0.0000000000_);[Red]\(0.0000000000\)"/>
    <numFmt numFmtId="188" formatCode="0.000000000_);[Red]\(0.000000000\)"/>
    <numFmt numFmtId="189" formatCode="0.00000000_);[Red]\(0.00000000\)"/>
    <numFmt numFmtId="190" formatCode="0.0000000_);[Red]\(0.0000000\)"/>
    <numFmt numFmtId="191" formatCode="0.000000_);[Red]\(0.000000\)"/>
    <numFmt numFmtId="192" formatCode="0.00000_);[Red]\(0.00000\)"/>
    <numFmt numFmtId="193" formatCode="0.0000_);[Red]\(0.0000\)"/>
    <numFmt numFmtId="194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vertAlign val="superscript"/>
      <sz val="12"/>
      <name val="Times New Roman"/>
      <family val="1"/>
    </font>
    <font>
      <b/>
      <sz val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F7" sqref="F7:I10"/>
    </sheetView>
  </sheetViews>
  <sheetFormatPr defaultColWidth="9.00390625" defaultRowHeight="14.25"/>
  <cols>
    <col min="1" max="1" width="11.125" style="0" customWidth="1"/>
    <col min="2" max="2" width="10.125" style="0" customWidth="1"/>
    <col min="3" max="4" width="9.375" style="0" customWidth="1"/>
  </cols>
  <sheetData>
    <row r="1" ht="14.25">
      <c r="A1" s="9" t="s">
        <v>65</v>
      </c>
    </row>
    <row r="2" ht="14.25">
      <c r="A2" t="s">
        <v>0</v>
      </c>
    </row>
    <row r="3" spans="1:7" ht="14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13</v>
      </c>
    </row>
    <row r="4" spans="1:7" ht="15.75">
      <c r="A4" s="2" t="s">
        <v>1</v>
      </c>
      <c r="B4" s="2" t="s">
        <v>2</v>
      </c>
      <c r="C4" s="2" t="s">
        <v>2</v>
      </c>
      <c r="D4" s="3"/>
      <c r="E4" s="2" t="s">
        <v>2</v>
      </c>
      <c r="F4" s="2" t="s">
        <v>2</v>
      </c>
      <c r="G4" s="4"/>
    </row>
    <row r="5" spans="1:7" ht="14.25">
      <c r="A5" s="3">
        <v>0.5</v>
      </c>
      <c r="B5" s="3">
        <v>1</v>
      </c>
      <c r="C5" s="3">
        <v>1.2</v>
      </c>
      <c r="D5" s="3">
        <v>0.001</v>
      </c>
      <c r="E5" s="3"/>
      <c r="F5" s="3"/>
      <c r="G5">
        <v>0.03</v>
      </c>
    </row>
    <row r="6" ht="14.25">
      <c r="I6" s="18"/>
    </row>
    <row r="7" spans="1:2" ht="14.25">
      <c r="A7" t="s">
        <v>3</v>
      </c>
      <c r="B7" s="5"/>
    </row>
    <row r="8" spans="1:5" ht="14.25">
      <c r="A8" s="4" t="s">
        <v>4</v>
      </c>
      <c r="B8" s="5" t="s">
        <v>11</v>
      </c>
      <c r="C8" s="4"/>
      <c r="D8" s="5"/>
      <c r="E8" s="4"/>
    </row>
    <row r="9" spans="1:2" ht="15.75">
      <c r="A9" s="2" t="s">
        <v>2</v>
      </c>
      <c r="B9" s="2" t="s">
        <v>12</v>
      </c>
    </row>
    <row r="10" spans="1:2" ht="14.25">
      <c r="A10" s="3">
        <v>0.99</v>
      </c>
      <c r="B10" s="7">
        <f>1/G5*(A10*B5)^(5/3)*D5^0.5/(A10*2+B5)^(2/3)</f>
        <v>0.5005643240329365</v>
      </c>
    </row>
    <row r="11" spans="6:9" ht="14.25">
      <c r="F11" s="5"/>
      <c r="I11" s="18"/>
    </row>
    <row r="12" spans="1:9" ht="18.75">
      <c r="A12" s="5" t="s">
        <v>14</v>
      </c>
      <c r="B12" s="5" t="s">
        <v>16</v>
      </c>
      <c r="C12" s="5" t="s">
        <v>18</v>
      </c>
      <c r="D12" s="5" t="s">
        <v>21</v>
      </c>
      <c r="E12" s="4"/>
      <c r="F12" s="5"/>
      <c r="G12" s="4"/>
      <c r="I12" s="18"/>
    </row>
    <row r="13" spans="1:3" ht="15.75">
      <c r="A13" s="2" t="s">
        <v>15</v>
      </c>
      <c r="B13" s="2" t="s">
        <v>17</v>
      </c>
      <c r="C13" s="2" t="s">
        <v>19</v>
      </c>
    </row>
    <row r="14" spans="1:4" ht="14.25">
      <c r="A14" s="3">
        <v>800</v>
      </c>
      <c r="B14" s="6">
        <f>0.25*PI()*(A14/1000)^2</f>
        <v>0.5026548245743669</v>
      </c>
      <c r="C14" s="6">
        <f>B10/B14</f>
        <v>0.9958410813161882</v>
      </c>
      <c r="D14" s="6">
        <f>C14^2/2/9.81</f>
        <v>0.050545334313812175</v>
      </c>
    </row>
    <row r="16" spans="1:4" ht="14.25">
      <c r="A16" s="9" t="s">
        <v>26</v>
      </c>
      <c r="D16" t="s">
        <v>24</v>
      </c>
    </row>
    <row r="17" spans="2:5" ht="14.25">
      <c r="B17" s="4" t="s">
        <v>22</v>
      </c>
      <c r="C17" s="4" t="s">
        <v>23</v>
      </c>
      <c r="D17">
        <v>80</v>
      </c>
      <c r="E17">
        <v>80</v>
      </c>
    </row>
    <row r="18" spans="4:7" ht="14.25">
      <c r="D18" s="6">
        <f>(SIN(D17*PI()/180/2))^2</f>
        <v>0.41317591116653474</v>
      </c>
      <c r="E18" s="6">
        <f>(SIN(E17*PI()/180/2))^2</f>
        <v>0.41317591116653474</v>
      </c>
      <c r="F18" s="6"/>
      <c r="G18" s="6"/>
    </row>
    <row r="19" spans="1:6" ht="14.25">
      <c r="A19" s="8" t="s">
        <v>20</v>
      </c>
      <c r="B19" s="6">
        <f>0.5</f>
        <v>0.5</v>
      </c>
      <c r="C19" s="6">
        <f>1*D14</f>
        <v>0.050545334313812175</v>
      </c>
      <c r="D19" s="6">
        <f>0.946*D18+2.05*D18^2</f>
        <v>0.7408287957785491</v>
      </c>
      <c r="E19" s="6">
        <f>0.946*E18+2.05*E18^2</f>
        <v>0.7408287957785491</v>
      </c>
      <c r="F19" s="12" t="s">
        <v>40</v>
      </c>
    </row>
    <row r="20" spans="1:6" ht="14.25">
      <c r="A20" s="8" t="s">
        <v>25</v>
      </c>
      <c r="B20" s="6">
        <f>B19*$D$14</f>
        <v>0.025272667156906087</v>
      </c>
      <c r="C20" s="6">
        <f>C19*$D$14</f>
        <v>0.0025548308208950387</v>
      </c>
      <c r="D20" s="6">
        <f>D19*$D$14</f>
        <v>0.03744543915192565</v>
      </c>
      <c r="E20" s="6">
        <f>E19*$D$14</f>
        <v>0.03744543915192565</v>
      </c>
      <c r="F20" s="6">
        <f>SUM(B20:E20)</f>
        <v>0.10271837628165242</v>
      </c>
    </row>
    <row r="21" ht="14.25">
      <c r="F21" s="3"/>
    </row>
    <row r="22" spans="1:6" ht="14.25">
      <c r="A22" t="s">
        <v>27</v>
      </c>
      <c r="F22" s="3"/>
    </row>
    <row r="23" spans="1:6" ht="15.75">
      <c r="A23" s="1"/>
      <c r="B23" s="5" t="s">
        <v>32</v>
      </c>
      <c r="C23" s="5" t="s">
        <v>33</v>
      </c>
      <c r="D23" s="5" t="s">
        <v>34</v>
      </c>
      <c r="E23" s="4" t="s">
        <v>35</v>
      </c>
      <c r="F23" s="13" t="s">
        <v>36</v>
      </c>
    </row>
    <row r="24" spans="2:6" ht="15.75">
      <c r="B24" s="2" t="s">
        <v>29</v>
      </c>
      <c r="C24" s="2" t="s">
        <v>31</v>
      </c>
      <c r="D24" s="2" t="s">
        <v>30</v>
      </c>
      <c r="E24" s="2" t="s">
        <v>28</v>
      </c>
      <c r="F24" s="2" t="s">
        <v>28</v>
      </c>
    </row>
    <row r="25" spans="2:6" ht="15.75">
      <c r="B25" s="7">
        <f>1/D25*C25^(1/6)</f>
        <v>56.64625861716519</v>
      </c>
      <c r="C25" s="2">
        <f>1/4*A14/1000</f>
        <v>0.2</v>
      </c>
      <c r="D25" s="3">
        <v>0.0135</v>
      </c>
      <c r="E25" s="3">
        <v>150</v>
      </c>
      <c r="F25" s="6">
        <f>E25*(C14^2)^2/B25^2/C25</f>
        <v>0.22986823154497607</v>
      </c>
    </row>
    <row r="27" ht="14.25">
      <c r="A27" s="11" t="s">
        <v>37</v>
      </c>
    </row>
    <row r="28" ht="14.25">
      <c r="A28" s="10">
        <f>F25+F20</f>
        <v>0.3325866078266285</v>
      </c>
    </row>
    <row r="30" ht="14.25">
      <c r="A30" t="s">
        <v>38</v>
      </c>
    </row>
    <row r="31" spans="1:2" ht="15.75">
      <c r="A31" s="14">
        <v>50</v>
      </c>
      <c r="B31" s="1" t="s">
        <v>39</v>
      </c>
    </row>
    <row r="34" ht="15.75">
      <c r="A34" t="s">
        <v>59</v>
      </c>
    </row>
    <row r="35" spans="1:2" ht="15.75">
      <c r="A35" t="s">
        <v>60</v>
      </c>
      <c r="B35" t="s">
        <v>62</v>
      </c>
    </row>
    <row r="36" ht="15.75">
      <c r="A36" t="s">
        <v>61</v>
      </c>
    </row>
    <row r="37" ht="15.75">
      <c r="B37" s="1" t="s">
        <v>63</v>
      </c>
    </row>
    <row r="38" ht="15.75">
      <c r="A38" t="s">
        <v>64</v>
      </c>
    </row>
  </sheetData>
  <printOptions/>
  <pageMargins left="0.75" right="0.75" top="1" bottom="1" header="0.5" footer="0.5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29" sqref="A29"/>
    </sheetView>
  </sheetViews>
  <sheetFormatPr defaultColWidth="9.00390625" defaultRowHeight="14.25"/>
  <sheetData>
    <row r="2" ht="14.25">
      <c r="A2" t="s">
        <v>42</v>
      </c>
    </row>
    <row r="3" spans="1:6" ht="14.25">
      <c r="A3" s="12" t="s">
        <v>45</v>
      </c>
      <c r="B3" s="12" t="s">
        <v>43</v>
      </c>
      <c r="C3" s="12" t="s">
        <v>44</v>
      </c>
      <c r="D3" s="12" t="s">
        <v>55</v>
      </c>
      <c r="E3" s="12" t="s">
        <v>57</v>
      </c>
      <c r="F3" s="12" t="s">
        <v>58</v>
      </c>
    </row>
    <row r="4" spans="1:6" ht="15">
      <c r="A4" s="16" t="s">
        <v>46</v>
      </c>
      <c r="B4" s="16" t="s">
        <v>47</v>
      </c>
      <c r="C4" s="16" t="s">
        <v>47</v>
      </c>
      <c r="D4" s="5" t="s">
        <v>56</v>
      </c>
      <c r="E4" s="5" t="s">
        <v>2</v>
      </c>
      <c r="F4" s="5"/>
    </row>
    <row r="5" spans="1:6" ht="14.25">
      <c r="A5" s="3">
        <v>800</v>
      </c>
      <c r="B5" s="3">
        <v>2285</v>
      </c>
      <c r="C5" s="15">
        <f>0.25*PI()*(A5/1000)^2*1000*5</f>
        <v>2513.2741228718346</v>
      </c>
      <c r="D5" s="3">
        <v>10</v>
      </c>
      <c r="E5" s="3">
        <v>1.2</v>
      </c>
      <c r="F5" s="3">
        <v>0.3</v>
      </c>
    </row>
    <row r="7" ht="14.25">
      <c r="A7" t="s">
        <v>41</v>
      </c>
    </row>
    <row r="8" spans="1:5" ht="14.25">
      <c r="A8" s="12" t="s">
        <v>48</v>
      </c>
      <c r="B8" s="12" t="s">
        <v>50</v>
      </c>
      <c r="C8" s="12" t="s">
        <v>52</v>
      </c>
      <c r="D8" s="12" t="s">
        <v>54</v>
      </c>
      <c r="E8" s="12" t="s">
        <v>55</v>
      </c>
    </row>
    <row r="9" spans="1:5" ht="14.25">
      <c r="A9" s="5" t="s">
        <v>49</v>
      </c>
      <c r="B9" s="5" t="s">
        <v>51</v>
      </c>
      <c r="C9" s="5" t="s">
        <v>53</v>
      </c>
      <c r="D9" s="5" t="s">
        <v>53</v>
      </c>
      <c r="E9" s="5" t="s">
        <v>53</v>
      </c>
    </row>
    <row r="10" spans="1:5" ht="14.25">
      <c r="A10" s="3">
        <v>46.41</v>
      </c>
      <c r="B10" s="3">
        <v>4</v>
      </c>
      <c r="C10" s="17">
        <f>B10*(B5+C5)*SIN(PI()*A10/180)</f>
        <v>13901.410307638671</v>
      </c>
      <c r="D10" s="17">
        <f>B10*(C5+B5)*COS(PI()*A10/180)</f>
        <v>13233.508393098973</v>
      </c>
      <c r="E10" s="3">
        <f>B10*5*E5*D5*10^4</f>
        <v>2400000</v>
      </c>
    </row>
    <row r="12" ht="14.25">
      <c r="A12" s="12" t="s">
        <v>66</v>
      </c>
    </row>
    <row r="13" ht="14.25">
      <c r="A13" s="5">
        <f>(F5*D10+E10)/C10</f>
        <v>172.92994015125032</v>
      </c>
    </row>
    <row r="14" ht="14.25">
      <c r="A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钟京华</dc:creator>
  <cp:keywords/>
  <dc:description/>
  <cp:lastModifiedBy>廖昌建</cp:lastModifiedBy>
  <dcterms:created xsi:type="dcterms:W3CDTF">2002-04-27T06:32:31Z</dcterms:created>
  <dcterms:modified xsi:type="dcterms:W3CDTF">2004-02-26T07:18:50Z</dcterms:modified>
  <cp:category/>
  <cp:version/>
  <cp:contentType/>
  <cp:contentStatus/>
</cp:coreProperties>
</file>