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9255" activeTab="0"/>
  </bookViews>
  <sheets>
    <sheet name="梯段板" sheetId="1" r:id="rId1"/>
    <sheet name="平台板" sheetId="2" r:id="rId2"/>
    <sheet name="平台梁" sheetId="3" r:id="rId3"/>
  </sheets>
  <definedNames>
    <definedName name="_xlnm.Print_Area" localSheetId="1">'平台板'!$A$1:$E$42</definedName>
  </definedNames>
  <calcPr fullCalcOnLoad="1"/>
</workbook>
</file>

<file path=xl/sharedStrings.xml><?xml version="1.0" encoding="utf-8"?>
<sst xmlns="http://schemas.openxmlformats.org/spreadsheetml/2006/main" count="166" uniqueCount="121">
  <si>
    <r>
      <t>梯段板净长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>(mm)</t>
    </r>
  </si>
  <si>
    <t>数据输入</t>
  </si>
  <si>
    <t>四、挠度验算</t>
  </si>
  <si>
    <t>数据输出</t>
  </si>
  <si>
    <t>数据输入</t>
  </si>
  <si>
    <t>一、常规数据</t>
  </si>
  <si>
    <t>二、截面配筋</t>
  </si>
  <si>
    <t>三、裂缝验算</t>
  </si>
  <si>
    <r>
      <t>钢筋弹性模量</t>
    </r>
    <r>
      <rPr>
        <sz val="12"/>
        <rFont val="Times New Roman"/>
        <family val="1"/>
      </rPr>
      <t>E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</si>
  <si>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★以单向板计算</t>
  </si>
  <si>
    <t>★以双向板计算</t>
  </si>
  <si>
    <t>单向板数据输出</t>
  </si>
  <si>
    <t>双向板数据输出</t>
  </si>
  <si>
    <r>
      <t>下梯段</t>
    </r>
    <r>
      <rPr>
        <sz val="12"/>
        <rFont val="Times New Roman"/>
        <family val="1"/>
      </rPr>
      <t>cos</t>
    </r>
    <r>
      <rPr>
        <sz val="12"/>
        <rFont val="宋体"/>
        <family val="0"/>
      </rPr>
      <t>α</t>
    </r>
  </si>
  <si>
    <t>数据输出</t>
  </si>
  <si>
    <r>
      <t>踏步高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step</t>
    </r>
    <r>
      <rPr>
        <sz val="12"/>
        <rFont val="Times New Roman"/>
        <family val="1"/>
      </rPr>
      <t>(mm)</t>
    </r>
  </si>
  <si>
    <r>
      <t>踏步宽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step</t>
    </r>
    <r>
      <rPr>
        <sz val="12"/>
        <rFont val="Times New Roman"/>
        <family val="1"/>
      </rPr>
      <t>(mm)</t>
    </r>
  </si>
  <si>
    <r>
      <t>受拉钢筋强度设计值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</si>
  <si>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活荷载标准值</t>
    </r>
    <r>
      <rPr>
        <sz val="12"/>
        <rFont val="Times New Roman"/>
        <family val="1"/>
      </rPr>
      <t>q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(KN/m)</t>
    </r>
  </si>
  <si>
    <r>
      <t>γ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=(1+(1-2</t>
    </r>
    <r>
      <rPr>
        <sz val="12"/>
        <rFont val="宋体"/>
        <family val="0"/>
      </rPr>
      <t>α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1/2</t>
    </r>
    <r>
      <rPr>
        <sz val="12"/>
        <rFont val="Times New Roman"/>
        <family val="1"/>
      </rPr>
      <t>)/2</t>
    </r>
  </si>
  <si>
    <r>
      <t>弯矩</t>
    </r>
    <r>
      <rPr>
        <sz val="12"/>
        <rFont val="Times New Roman"/>
        <family val="1"/>
      </rPr>
      <t>M=max(M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</si>
  <si>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'=m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ν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1</t>
    </r>
  </si>
  <si>
    <t>斜截面抗剪是否满足</t>
  </si>
  <si>
    <r>
      <t>ρ</t>
    </r>
    <r>
      <rPr>
        <vertAlign val="subscript"/>
        <sz val="12"/>
        <rFont val="Times New Roman"/>
        <family val="1"/>
      </rPr>
      <t>te</t>
    </r>
    <r>
      <rPr>
        <sz val="12"/>
        <rFont val="Times New Roman"/>
        <family val="1"/>
      </rPr>
      <t>=A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/0.5bh</t>
    </r>
  </si>
  <si>
    <r>
      <t>活荷载准永久值系数ψ</t>
    </r>
    <r>
      <rPr>
        <vertAlign val="subscript"/>
        <sz val="12"/>
        <rFont val="Times New Roman"/>
        <family val="1"/>
      </rPr>
      <t>q</t>
    </r>
  </si>
  <si>
    <t>混凝土强度等级</t>
  </si>
  <si>
    <r>
      <t>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'=m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ν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2</t>
    </r>
  </si>
  <si>
    <r>
      <t>查得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2</t>
    </r>
  </si>
  <si>
    <r>
      <t>查得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1</t>
    </r>
  </si>
  <si>
    <r>
      <t>l</t>
    </r>
    <r>
      <rPr>
        <vertAlign val="subscript"/>
        <sz val="12"/>
        <rFont val="Times New Roman"/>
        <family val="1"/>
      </rPr>
      <t>01</t>
    </r>
    <r>
      <rPr>
        <sz val="12"/>
        <rFont val="Times New Roman"/>
        <family val="1"/>
      </rPr>
      <t>/l</t>
    </r>
    <r>
      <rPr>
        <vertAlign val="subscript"/>
        <sz val="12"/>
        <rFont val="Times New Roman"/>
        <family val="1"/>
      </rPr>
      <t>02</t>
    </r>
  </si>
  <si>
    <r>
      <t>m</t>
    </r>
    <r>
      <rPr>
        <vertAlign val="subscript"/>
        <sz val="12"/>
        <rFont val="Times New Roman"/>
        <family val="1"/>
      </rPr>
      <t>1</t>
    </r>
  </si>
  <si>
    <r>
      <t>m</t>
    </r>
    <r>
      <rPr>
        <vertAlign val="subscript"/>
        <sz val="12"/>
        <rFont val="Times New Roman"/>
        <family val="1"/>
      </rPr>
      <t>2</t>
    </r>
  </si>
  <si>
    <t>恒荷载</t>
  </si>
  <si>
    <t>恒荷载</t>
  </si>
  <si>
    <t>栏杆</t>
  </si>
  <si>
    <t>板底抹灰</t>
  </si>
  <si>
    <t>面层</t>
  </si>
  <si>
    <t>平台板</t>
  </si>
  <si>
    <r>
      <t>l</t>
    </r>
    <r>
      <rPr>
        <vertAlign val="subscript"/>
        <sz val="12"/>
        <rFont val="Times New Roman"/>
        <family val="1"/>
      </rPr>
      <t>0 1</t>
    </r>
    <r>
      <rPr>
        <sz val="12"/>
        <rFont val="Times New Roman"/>
        <family val="1"/>
      </rPr>
      <t>/l</t>
    </r>
    <r>
      <rPr>
        <vertAlign val="subscript"/>
        <sz val="12"/>
        <rFont val="Times New Roman"/>
        <family val="1"/>
      </rPr>
      <t>0 2</t>
    </r>
  </si>
  <si>
    <t>附双向板弯矩系数内插表</t>
  </si>
  <si>
    <r>
      <t>内插得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1</t>
    </r>
  </si>
  <si>
    <r>
      <t>内插得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2</t>
    </r>
  </si>
  <si>
    <t>恒荷载</t>
  </si>
  <si>
    <t>平台板传来</t>
  </si>
  <si>
    <t>梯段板传来</t>
  </si>
  <si>
    <t>梁上墙传来</t>
  </si>
  <si>
    <t>C30</t>
  </si>
  <si>
    <t>混凝土强度等级</t>
  </si>
  <si>
    <t>一、常规数据</t>
  </si>
  <si>
    <t>是否满足</t>
  </si>
  <si>
    <t>是否满足</t>
  </si>
  <si>
    <t>正截面抗弯是否满足</t>
  </si>
  <si>
    <t>几肢箍</t>
  </si>
  <si>
    <r>
      <t>板倾角</t>
    </r>
    <r>
      <rPr>
        <sz val="12"/>
        <rFont val="Times New Roman"/>
        <family val="1"/>
      </rPr>
      <t>cos</t>
    </r>
    <r>
      <rPr>
        <sz val="12"/>
        <rFont val="宋体"/>
        <family val="0"/>
      </rPr>
      <t>α</t>
    </r>
    <r>
      <rPr>
        <sz val="12"/>
        <rFont val="Times New Roman"/>
        <family val="1"/>
      </rPr>
      <t>=1/(1+(h</t>
    </r>
    <r>
      <rPr>
        <vertAlign val="subscript"/>
        <sz val="12"/>
        <rFont val="Times New Roman"/>
        <family val="1"/>
      </rPr>
      <t>step</t>
    </r>
    <r>
      <rPr>
        <sz val="12"/>
        <rFont val="Times New Roman"/>
        <family val="1"/>
      </rPr>
      <t>/b</t>
    </r>
    <r>
      <rPr>
        <vertAlign val="subscript"/>
        <sz val="12"/>
        <rFont val="Times New Roman"/>
        <family val="1"/>
      </rPr>
      <t>step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1/2</t>
    </r>
  </si>
  <si>
    <r>
      <t>板底抹灰</t>
    </r>
    <r>
      <rPr>
        <sz val="12"/>
        <rFont val="Times New Roman"/>
        <family val="1"/>
      </rPr>
      <t xml:space="preserve"> 0.34/cos</t>
    </r>
    <r>
      <rPr>
        <sz val="12"/>
        <rFont val="宋体"/>
        <family val="0"/>
      </rPr>
      <t>α</t>
    </r>
  </si>
  <si>
    <r>
      <t>斜板</t>
    </r>
    <r>
      <rPr>
        <sz val="12"/>
        <rFont val="Times New Roman"/>
        <family val="1"/>
      </rPr>
      <t xml:space="preserve"> 25h/cos</t>
    </r>
    <r>
      <rPr>
        <sz val="12"/>
        <rFont val="宋体"/>
        <family val="0"/>
      </rPr>
      <t>α</t>
    </r>
  </si>
  <si>
    <r>
      <t>踏步</t>
    </r>
    <r>
      <rPr>
        <sz val="12"/>
        <rFont val="Times New Roman"/>
        <family val="1"/>
      </rPr>
      <t xml:space="preserve"> 25h</t>
    </r>
    <r>
      <rPr>
        <vertAlign val="subscript"/>
        <sz val="12"/>
        <rFont val="Times New Roman"/>
        <family val="1"/>
      </rPr>
      <t>step</t>
    </r>
    <r>
      <rPr>
        <sz val="12"/>
        <rFont val="Times New Roman"/>
        <family val="1"/>
      </rPr>
      <t>/2</t>
    </r>
  </si>
  <si>
    <r>
      <t>面层</t>
    </r>
    <r>
      <rPr>
        <sz val="12"/>
        <rFont val="Times New Roman"/>
        <family val="1"/>
      </rPr>
      <t xml:space="preserve"> 0.65*(b</t>
    </r>
    <r>
      <rPr>
        <vertAlign val="subscript"/>
        <sz val="12"/>
        <rFont val="Times New Roman"/>
        <family val="1"/>
      </rPr>
      <t>step</t>
    </r>
    <r>
      <rPr>
        <sz val="12"/>
        <rFont val="Times New Roman"/>
        <family val="1"/>
      </rPr>
      <t>+h</t>
    </r>
    <r>
      <rPr>
        <vertAlign val="subscript"/>
        <sz val="12"/>
        <rFont val="Times New Roman"/>
        <family val="1"/>
      </rPr>
      <t>step</t>
    </r>
    <r>
      <rPr>
        <sz val="12"/>
        <rFont val="Times New Roman"/>
        <family val="1"/>
      </rPr>
      <t>)/b</t>
    </r>
    <r>
      <rPr>
        <vertAlign val="subscript"/>
        <sz val="12"/>
        <rFont val="Times New Roman"/>
        <family val="1"/>
      </rPr>
      <t>step</t>
    </r>
  </si>
  <si>
    <r>
      <t>构件受力特征系数α</t>
    </r>
    <r>
      <rPr>
        <vertAlign val="subscript"/>
        <sz val="12"/>
        <rFont val="Times New Roman"/>
        <family val="1"/>
      </rPr>
      <t>cr</t>
    </r>
  </si>
  <si>
    <t>纵向受拉钢筋表面特征系数ν</t>
  </si>
  <si>
    <r>
      <t>挠度</t>
    </r>
    <r>
      <rPr>
        <sz val="12"/>
        <rFont val="Times New Roman"/>
        <family val="1"/>
      </rPr>
      <t>f=5M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/48B</t>
    </r>
    <r>
      <rPr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(mm)</t>
    </r>
  </si>
  <si>
    <r>
      <t>长期刚度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>=B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*M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/(M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+M</t>
    </r>
    <r>
      <rPr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>) (N·mm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</si>
  <si>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α</t>
    </r>
    <r>
      <rPr>
        <vertAlign val="subscript"/>
        <sz val="12"/>
        <rFont val="Times New Roman"/>
        <family val="1"/>
      </rPr>
      <t>E</t>
    </r>
    <r>
      <rPr>
        <sz val="12"/>
        <rFont val="宋体"/>
        <family val="0"/>
      </rPr>
      <t>ρ</t>
    </r>
    <r>
      <rPr>
        <sz val="12"/>
        <rFont val="Times New Roman"/>
        <family val="1"/>
      </rPr>
      <t>=E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/E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bh</t>
    </r>
    <r>
      <rPr>
        <vertAlign val="subscript"/>
        <sz val="12"/>
        <rFont val="Times New Roman"/>
        <family val="1"/>
      </rPr>
      <t>0</t>
    </r>
  </si>
  <si>
    <r>
      <t>短期刚度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=E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/(1.15</t>
    </r>
    <r>
      <rPr>
        <sz val="12"/>
        <rFont val="宋体"/>
        <family val="0"/>
      </rPr>
      <t>ψ</t>
    </r>
    <r>
      <rPr>
        <sz val="12"/>
        <rFont val="Times New Roman"/>
        <family val="1"/>
      </rPr>
      <t>+0.2+6</t>
    </r>
    <r>
      <rPr>
        <sz val="12"/>
        <rFont val="宋体"/>
        <family val="0"/>
      </rPr>
      <t>α</t>
    </r>
    <r>
      <rPr>
        <vertAlign val="subscript"/>
        <sz val="12"/>
        <rFont val="Times New Roman"/>
        <family val="1"/>
      </rPr>
      <t>E</t>
    </r>
    <r>
      <rPr>
        <sz val="12"/>
        <rFont val="宋体"/>
        <family val="0"/>
      </rPr>
      <t>ρ</t>
    </r>
    <r>
      <rPr>
        <sz val="12"/>
        <rFont val="Times New Roman"/>
        <family val="1"/>
      </rPr>
      <t>) (N·mm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</si>
  <si>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验算</t>
    </r>
    <r>
      <rPr>
        <sz val="12"/>
        <rFont val="Times New Roman"/>
        <family val="1"/>
      </rPr>
      <t xml:space="preserve">f 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 xml:space="preserve"> l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/200</t>
    </r>
  </si>
  <si>
    <r>
      <t>ρ</t>
    </r>
    <r>
      <rPr>
        <vertAlign val="subscript"/>
        <sz val="12"/>
        <rFont val="Times New Roman"/>
        <family val="1"/>
      </rPr>
      <t>te</t>
    </r>
    <r>
      <rPr>
        <sz val="12"/>
        <rFont val="宋体"/>
        <family val="0"/>
      </rPr>
      <t>实际取值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ρ</t>
    </r>
    <r>
      <rPr>
        <vertAlign val="subscript"/>
        <sz val="12"/>
        <rFont val="Times New Roman"/>
        <family val="1"/>
      </rPr>
      <t>te</t>
    </r>
    <r>
      <rPr>
        <sz val="12"/>
        <rFont val="宋体"/>
        <family val="0"/>
      </rPr>
      <t>≥</t>
    </r>
    <r>
      <rPr>
        <sz val="12"/>
        <rFont val="Times New Roman"/>
        <family val="1"/>
      </rPr>
      <t>0.01</t>
    </r>
    <r>
      <rPr>
        <sz val="12"/>
        <rFont val="Times New Roman"/>
        <family val="1"/>
      </rPr>
      <t>)</t>
    </r>
  </si>
  <si>
    <r>
      <t>梁自重</t>
    </r>
    <r>
      <rPr>
        <sz val="12"/>
        <rFont val="Times New Roman"/>
        <family val="1"/>
      </rPr>
      <t xml:space="preserve"> 25bh</t>
    </r>
  </si>
  <si>
    <r>
      <t>有效厚度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=h-15-d/2 (mm)</t>
    </r>
  </si>
  <si>
    <r>
      <t>板计算跨度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=1.05l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(mm)</t>
    </r>
  </si>
  <si>
    <r>
      <t>梯段板厚实际取值</t>
    </r>
    <r>
      <rPr>
        <sz val="12"/>
        <rFont val="Times New Roman"/>
        <family val="1"/>
      </rPr>
      <t>h (mm)</t>
    </r>
  </si>
  <si>
    <r>
      <t>梯段板厚</t>
    </r>
    <r>
      <rPr>
        <sz val="12"/>
        <rFont val="Times New Roman"/>
        <family val="1"/>
      </rPr>
      <t>h=l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>/25 (mm)</t>
    </r>
  </si>
  <si>
    <r>
      <t>混凝土弹性模量</t>
    </r>
    <r>
      <rPr>
        <sz val="12"/>
        <rFont val="Times New Roman"/>
        <family val="1"/>
      </rPr>
      <t>E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</si>
  <si>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恒荷载标准值</t>
    </r>
    <r>
      <rPr>
        <sz val="12"/>
        <rFont val="Times New Roman"/>
        <family val="1"/>
      </rPr>
      <t>g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(KN/m)</t>
    </r>
  </si>
  <si>
    <r>
      <t>总荷载设计值</t>
    </r>
    <r>
      <rPr>
        <sz val="12"/>
        <rFont val="Times New Roman"/>
        <family val="1"/>
      </rPr>
      <t>p=1.2g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+1.4q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(KN/m)</t>
    </r>
  </si>
  <si>
    <r>
      <t>混凝土抗拉标准值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</si>
  <si>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钢筋直径</t>
    </r>
    <r>
      <rPr>
        <sz val="12"/>
        <rFont val="Times New Roman"/>
        <family val="1"/>
      </rPr>
      <t>d (mm)</t>
    </r>
  </si>
  <si>
    <r>
      <t>钢筋间距</t>
    </r>
    <r>
      <rPr>
        <sz val="12"/>
        <rFont val="Times New Roman"/>
        <family val="1"/>
      </rPr>
      <t>s (mm)</t>
    </r>
  </si>
  <si>
    <r>
      <t>钢筋实际配筋面积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(mm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</si>
  <si>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钢筋面积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=M/</t>
    </r>
    <r>
      <rPr>
        <sz val="12"/>
        <rFont val="宋体"/>
        <family val="0"/>
      </rPr>
      <t>γ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(mm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</si>
  <si>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弯矩</t>
    </r>
    <r>
      <rPr>
        <sz val="12"/>
        <rFont val="Times New Roman"/>
        <family val="1"/>
      </rPr>
      <t>M=pl</t>
    </r>
    <r>
      <rPr>
        <vertAlign val="subscript"/>
        <sz val="12"/>
        <rFont val="Times New Roman"/>
        <family val="1"/>
      </rPr>
      <t>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/8 (KN·m)</t>
    </r>
  </si>
  <si>
    <r>
      <t>短期弯矩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=(g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+q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)l</t>
    </r>
    <r>
      <rPr>
        <vertAlign val="subscript"/>
        <sz val="12"/>
        <rFont val="Times New Roman"/>
        <family val="1"/>
      </rPr>
      <t>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/8 (KN·m)</t>
    </r>
  </si>
  <si>
    <r>
      <t>长期弯矩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l</t>
    </r>
    <r>
      <rPr>
        <sz val="12"/>
        <rFont val="Times New Roman"/>
        <family val="1"/>
      </rPr>
      <t>=(g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ψ</t>
    </r>
    <r>
      <rPr>
        <vertAlign val="subscript"/>
        <sz val="12"/>
        <rFont val="Times New Roman"/>
        <family val="1"/>
      </rPr>
      <t>q</t>
    </r>
    <r>
      <rPr>
        <sz val="12"/>
        <rFont val="Times New Roman"/>
        <family val="1"/>
      </rPr>
      <t>q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)l</t>
    </r>
    <r>
      <rPr>
        <vertAlign val="subscript"/>
        <sz val="12"/>
        <rFont val="Times New Roman"/>
        <family val="1"/>
      </rPr>
      <t>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/8 (KN·m)</t>
    </r>
  </si>
  <si>
    <r>
      <t>活荷载标准值</t>
    </r>
    <r>
      <rPr>
        <sz val="12"/>
        <rFont val="Times New Roman"/>
        <family val="1"/>
      </rPr>
      <t>q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(KN/m)</t>
    </r>
  </si>
  <si>
    <r>
      <t>平台板厚</t>
    </r>
    <r>
      <rPr>
        <sz val="12"/>
        <rFont val="Times New Roman"/>
        <family val="1"/>
      </rPr>
      <t>h (mm)</t>
    </r>
  </si>
  <si>
    <r>
      <t>板计算跨度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(mm)</t>
    </r>
  </si>
  <si>
    <r>
      <t>受力钢筋强度设计值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</si>
  <si>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板计算跨度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0 1</t>
    </r>
    <r>
      <rPr>
        <sz val="12"/>
        <rFont val="Times New Roman"/>
        <family val="1"/>
      </rPr>
      <t xml:space="preserve"> (mm)</t>
    </r>
  </si>
  <si>
    <r>
      <t>板计算跨度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0 2</t>
    </r>
    <r>
      <rPr>
        <sz val="12"/>
        <rFont val="Times New Roman"/>
        <family val="1"/>
      </rPr>
      <t xml:space="preserve"> (mm)</t>
    </r>
  </si>
  <si>
    <r>
      <t>平台板有效厚度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=h-20 (mm)</t>
    </r>
  </si>
  <si>
    <r>
      <t>弯矩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'pl</t>
    </r>
    <r>
      <rPr>
        <vertAlign val="subscript"/>
        <sz val="12"/>
        <rFont val="Times New Roman"/>
        <family val="1"/>
      </rPr>
      <t>0 1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(KN·m)</t>
    </r>
  </si>
  <si>
    <r>
      <t>弯矩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'pl</t>
    </r>
    <r>
      <rPr>
        <vertAlign val="subscript"/>
        <sz val="12"/>
        <rFont val="Times New Roman"/>
        <family val="1"/>
      </rPr>
      <t>0 1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(KN·m)</t>
    </r>
  </si>
  <si>
    <r>
      <t>下梯段板厚</t>
    </r>
    <r>
      <rPr>
        <sz val="12"/>
        <rFont val="Times New Roman"/>
        <family val="1"/>
      </rPr>
      <t>h (mm)</t>
    </r>
  </si>
  <si>
    <r>
      <t>下梯段踏步高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step</t>
    </r>
    <r>
      <rPr>
        <sz val="12"/>
        <rFont val="Times New Roman"/>
        <family val="1"/>
      </rPr>
      <t xml:space="preserve"> (mm)</t>
    </r>
  </si>
  <si>
    <r>
      <t>平台梁宽</t>
    </r>
    <r>
      <rPr>
        <sz val="12"/>
        <rFont val="Times New Roman"/>
        <family val="1"/>
      </rPr>
      <t>b (mm)</t>
    </r>
  </si>
  <si>
    <r>
      <t>平台梁高</t>
    </r>
    <r>
      <rPr>
        <sz val="12"/>
        <rFont val="Times New Roman"/>
        <family val="1"/>
      </rPr>
      <t>h (mm)</t>
    </r>
  </si>
  <si>
    <r>
      <t>箍筋强度设计值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yv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</si>
  <si>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平台板恒荷载</t>
    </r>
    <r>
      <rPr>
        <sz val="12"/>
        <rFont val="Times New Roman"/>
        <family val="1"/>
      </rPr>
      <t xml:space="preserve"> (KN/m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</si>
  <si>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平台板计算长度</t>
    </r>
    <r>
      <rPr>
        <sz val="12"/>
        <rFont val="Times New Roman"/>
        <family val="1"/>
      </rPr>
      <t xml:space="preserve"> (mm)</t>
    </r>
  </si>
  <si>
    <r>
      <t>梯段板恒荷载</t>
    </r>
    <r>
      <rPr>
        <sz val="12"/>
        <rFont val="Times New Roman"/>
        <family val="1"/>
      </rPr>
      <t xml:space="preserve"> (KN/m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</si>
  <si>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梯段板计算长度</t>
    </r>
    <r>
      <rPr>
        <sz val="12"/>
        <rFont val="Times New Roman"/>
        <family val="1"/>
      </rPr>
      <t xml:space="preserve"> (mm)</t>
    </r>
  </si>
  <si>
    <r>
      <t>梁上墙荷载</t>
    </r>
    <r>
      <rPr>
        <sz val="12"/>
        <rFont val="Times New Roman"/>
        <family val="1"/>
      </rPr>
      <t xml:space="preserve"> (KN/m)</t>
    </r>
  </si>
  <si>
    <r>
      <t>梁计算跨度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(mm)</t>
    </r>
  </si>
  <si>
    <r>
      <t>梁净跨</t>
    </r>
    <r>
      <rPr>
        <sz val="12"/>
        <rFont val="Times New Roman"/>
        <family val="1"/>
      </rPr>
      <t>l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(mm)</t>
    </r>
  </si>
  <si>
    <r>
      <t>混凝土轴心抗压设计值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</si>
  <si>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平台梁有效厚度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=h-35 (mm)</t>
    </r>
  </si>
  <si>
    <r>
      <t>剪力</t>
    </r>
    <r>
      <rPr>
        <sz val="12"/>
        <rFont val="Times New Roman"/>
        <family val="1"/>
      </rPr>
      <t>V=pl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>/2 (KN)</t>
    </r>
  </si>
  <si>
    <r>
      <t>箍筋直径</t>
    </r>
    <r>
      <rPr>
        <sz val="12"/>
        <rFont val="Times New Roman"/>
        <family val="1"/>
      </rPr>
      <t>d (mm)</t>
    </r>
  </si>
  <si>
    <r>
      <t>箍筋间距</t>
    </r>
    <r>
      <rPr>
        <sz val="12"/>
        <rFont val="Times New Roman"/>
        <family val="1"/>
      </rPr>
      <t>s (mm)</t>
    </r>
  </si>
  <si>
    <r>
      <t>斜截面受剪承载力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CS</t>
    </r>
    <r>
      <rPr>
        <sz val="12"/>
        <rFont val="Times New Roman"/>
        <family val="1"/>
      </rPr>
      <t xml:space="preserve"> (KN)</t>
    </r>
  </si>
  <si>
    <t>钢筋数量</t>
  </si>
  <si>
    <r>
      <t>σ</t>
    </r>
    <r>
      <rPr>
        <vertAlign val="subscript"/>
        <sz val="12"/>
        <rFont val="Times New Roman"/>
        <family val="1"/>
      </rPr>
      <t>sk</t>
    </r>
    <r>
      <rPr>
        <sz val="12"/>
        <rFont val="Times New Roman"/>
        <family val="1"/>
      </rPr>
      <t>=M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η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</si>
  <si>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ψ</t>
    </r>
    <r>
      <rPr>
        <sz val="12"/>
        <rFont val="Times New Roman"/>
        <family val="1"/>
      </rPr>
      <t>=1.1-0.65f</t>
    </r>
    <r>
      <rPr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ρ</t>
    </r>
    <r>
      <rPr>
        <vertAlign val="subscript"/>
        <sz val="12"/>
        <rFont val="Times New Roman"/>
        <family val="1"/>
      </rPr>
      <t>te</t>
    </r>
    <r>
      <rPr>
        <sz val="12"/>
        <rFont val="宋体"/>
        <family val="0"/>
      </rPr>
      <t>σ</t>
    </r>
    <r>
      <rPr>
        <vertAlign val="subscript"/>
        <sz val="12"/>
        <rFont val="Times New Roman"/>
        <family val="1"/>
      </rPr>
      <t>sk</t>
    </r>
  </si>
  <si>
    <r>
      <t>受拉区纵筋等效直径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eq</t>
    </r>
    <r>
      <rPr>
        <sz val="12"/>
        <rFont val="Times New Roman"/>
        <family val="1"/>
      </rPr>
      <t>=d/</t>
    </r>
    <r>
      <rPr>
        <sz val="12"/>
        <rFont val="宋体"/>
        <family val="0"/>
      </rPr>
      <t>ν</t>
    </r>
    <r>
      <rPr>
        <sz val="12"/>
        <rFont val="Times New Roman"/>
        <family val="1"/>
      </rPr>
      <t xml:space="preserve"> (mm)</t>
    </r>
  </si>
  <si>
    <r>
      <t>最大裂缝宽度ω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α</t>
    </r>
    <r>
      <rPr>
        <vertAlign val="subscript"/>
        <sz val="12"/>
        <rFont val="Times New Roman"/>
        <family val="1"/>
      </rPr>
      <t>cr</t>
    </r>
    <r>
      <rPr>
        <sz val="12"/>
        <rFont val="宋体"/>
        <family val="0"/>
      </rPr>
      <t>ψσ</t>
    </r>
    <r>
      <rPr>
        <vertAlign val="subscript"/>
        <sz val="12"/>
        <rFont val="Times New Roman"/>
        <family val="1"/>
      </rPr>
      <t>sk</t>
    </r>
    <r>
      <rPr>
        <sz val="12"/>
        <rFont val="Times New Roman"/>
        <family val="1"/>
      </rPr>
      <t>/E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(1.9c+0.08d</t>
    </r>
    <r>
      <rPr>
        <vertAlign val="subscript"/>
        <sz val="12"/>
        <rFont val="Times New Roman"/>
        <family val="1"/>
      </rPr>
      <t>eq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ρ</t>
    </r>
    <r>
      <rPr>
        <vertAlign val="subscript"/>
        <sz val="12"/>
        <rFont val="Times New Roman"/>
        <family val="1"/>
      </rPr>
      <t>te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 xml:space="preserve"> (mm)</t>
    </r>
  </si>
  <si>
    <r>
      <t>应变不均匀系数ψ实际取值</t>
    </r>
    <r>
      <rPr>
        <sz val="12"/>
        <rFont val="Times New Roman"/>
        <family val="1"/>
      </rPr>
      <t>(0.2</t>
    </r>
    <r>
      <rPr>
        <sz val="12"/>
        <rFont val="宋体"/>
        <family val="0"/>
      </rPr>
      <t>≤ψ≤</t>
    </r>
    <r>
      <rPr>
        <sz val="12"/>
        <rFont val="Times New Roman"/>
        <family val="1"/>
      </rPr>
      <t>1.0)</t>
    </r>
  </si>
  <si>
    <r>
      <t>最外层受拉钢筋外边缘至受拉底边距离</t>
    </r>
    <r>
      <rPr>
        <sz val="12"/>
        <rFont val="Times New Roman"/>
        <family val="1"/>
      </rPr>
      <t>c (20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65) (mm)</t>
    </r>
  </si>
  <si>
    <r>
      <t>系数α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</si>
  <si>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r>
      <t>截面抵抗矩系数α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=M/</t>
    </r>
    <r>
      <rPr>
        <sz val="12"/>
        <rFont val="宋体"/>
        <family val="0"/>
      </rPr>
      <t>α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bh</t>
    </r>
    <r>
      <rPr>
        <vertAlign val="subscript"/>
        <sz val="12"/>
        <rFont val="Times New Roman"/>
        <family val="1"/>
      </rPr>
      <t>0</t>
    </r>
    <r>
      <rPr>
        <vertAlign val="superscript"/>
        <sz val="12"/>
        <rFont val="Times New Roman"/>
        <family val="1"/>
      </rPr>
      <t>2</t>
    </r>
  </si>
  <si>
    <r>
      <t>最大裂缝宽度限值ω</t>
    </r>
    <r>
      <rPr>
        <vertAlign val="subscript"/>
        <sz val="12"/>
        <rFont val="Times New Roman"/>
        <family val="1"/>
      </rPr>
      <t>lim</t>
    </r>
    <r>
      <rPr>
        <sz val="12"/>
        <rFont val="Times New Roman"/>
        <family val="1"/>
      </rPr>
      <t xml:space="preserve"> (mm)</t>
    </r>
  </si>
  <si>
    <r>
      <t>验算ω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ω</t>
    </r>
    <r>
      <rPr>
        <vertAlign val="subscript"/>
        <sz val="12"/>
        <rFont val="Times New Roman"/>
        <family val="1"/>
      </rPr>
      <t>lim</t>
    </r>
  </si>
  <si>
    <r>
      <t>挠度限值</t>
    </r>
    <r>
      <rPr>
        <sz val="12"/>
        <rFont val="Times New Roman"/>
        <family val="1"/>
      </rPr>
      <t xml:space="preserve"> l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/200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</si>
</sst>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0.0_ "/>
    <numFmt numFmtId="180" formatCode="0_ "/>
    <numFmt numFmtId="181" formatCode="0.E+00"/>
    <numFmt numFmtId="182" formatCode="0.0000_);[Red]\(0.0000\)"/>
    <numFmt numFmtId="183" formatCode="0.0_);[Red]\(0.0\)"/>
    <numFmt numFmtId="184" formatCode="0.0E+00"/>
    <numFmt numFmtId="185" formatCode="0.00_);[Red]\(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b/>
      <sz val="12"/>
      <color indexed="10"/>
      <name val="宋体"/>
      <family val="0"/>
    </font>
    <font>
      <sz val="12"/>
      <color indexed="12"/>
      <name val="宋体"/>
      <family val="0"/>
    </font>
    <font>
      <sz val="1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82" fontId="0" fillId="0" borderId="2" xfId="0" applyNumberFormat="1" applyFont="1" applyBorder="1" applyAlignment="1">
      <alignment horizontal="center" vertical="center"/>
    </xf>
    <xf numFmtId="182" fontId="0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82" fontId="2" fillId="0" borderId="5" xfId="0" applyNumberFormat="1" applyFont="1" applyBorder="1" applyAlignment="1">
      <alignment horizontal="center" vertical="center"/>
    </xf>
    <xf numFmtId="182" fontId="2" fillId="0" borderId="6" xfId="0" applyNumberFormat="1" applyFon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4" fontId="0" fillId="2" borderId="10" xfId="0" applyNumberFormat="1" applyFill="1" applyBorder="1" applyAlignment="1">
      <alignment horizontal="center" vertical="center"/>
    </xf>
    <xf numFmtId="179" fontId="0" fillId="2" borderId="10" xfId="0" applyNumberForma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80" fontId="0" fillId="2" borderId="10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D45" sqref="D45"/>
    </sheetView>
  </sheetViews>
  <sheetFormatPr defaultColWidth="9.00390625" defaultRowHeight="14.25"/>
  <cols>
    <col min="1" max="1" width="2.625" style="2" customWidth="1"/>
    <col min="2" max="2" width="28.625" style="0" customWidth="1"/>
    <col min="3" max="3" width="9.625" style="0" customWidth="1"/>
    <col min="4" max="4" width="30.625" style="0" customWidth="1"/>
    <col min="5" max="5" width="9.625" style="0" customWidth="1"/>
    <col min="6" max="6" width="3.625" style="0" customWidth="1"/>
    <col min="7" max="7" width="11.625" style="0" customWidth="1"/>
  </cols>
  <sheetData>
    <row r="1" spans="1:2" ht="14.25">
      <c r="A1" s="61"/>
      <c r="B1" s="62"/>
    </row>
    <row r="2" spans="1:2" ht="14.25">
      <c r="A2" s="60"/>
      <c r="B2" s="60"/>
    </row>
    <row r="3" spans="1:3" ht="14.25" customHeight="1">
      <c r="A3" s="66" t="s">
        <v>4</v>
      </c>
      <c r="B3" s="60"/>
      <c r="C3" s="60"/>
    </row>
    <row r="4" spans="1:3" ht="14.25" customHeight="1">
      <c r="A4" s="60"/>
      <c r="B4" s="60"/>
      <c r="C4" s="60"/>
    </row>
    <row r="5" spans="1:5" ht="15.75" customHeight="1">
      <c r="A5" s="65" t="s">
        <v>16</v>
      </c>
      <c r="B5" s="65"/>
      <c r="C5" s="32">
        <v>280</v>
      </c>
      <c r="D5" s="20" t="s">
        <v>18</v>
      </c>
      <c r="E5" s="32">
        <v>3.5</v>
      </c>
    </row>
    <row r="6" spans="1:5" ht="15.75" customHeight="1">
      <c r="A6" s="65" t="s">
        <v>15</v>
      </c>
      <c r="B6" s="65"/>
      <c r="C6" s="32">
        <v>150</v>
      </c>
      <c r="D6" s="20" t="s">
        <v>24</v>
      </c>
      <c r="E6" s="32">
        <v>0.5</v>
      </c>
    </row>
    <row r="7" spans="1:7" ht="15.75" customHeight="1">
      <c r="A7" s="65" t="s">
        <v>0</v>
      </c>
      <c r="B7" s="65"/>
      <c r="C7" s="31">
        <v>4280</v>
      </c>
      <c r="D7" s="20" t="s">
        <v>17</v>
      </c>
      <c r="E7" s="31">
        <v>300</v>
      </c>
      <c r="G7" s="1"/>
    </row>
    <row r="8" spans="1:5" ht="15.75" customHeight="1">
      <c r="A8" s="67" t="s">
        <v>25</v>
      </c>
      <c r="B8" s="65"/>
      <c r="C8" s="31" t="s">
        <v>46</v>
      </c>
      <c r="D8" s="20" t="s">
        <v>8</v>
      </c>
      <c r="E8" s="44">
        <v>200000</v>
      </c>
    </row>
    <row r="9" spans="1:5" ht="15.75" customHeight="1">
      <c r="A9" s="67" t="s">
        <v>58</v>
      </c>
      <c r="B9" s="65"/>
      <c r="C9" s="45">
        <v>2.1</v>
      </c>
      <c r="D9" s="20" t="s">
        <v>59</v>
      </c>
      <c r="E9" s="45">
        <v>0.7</v>
      </c>
    </row>
    <row r="10" spans="1:2" ht="14.25">
      <c r="A10" s="69"/>
      <c r="B10" s="70"/>
    </row>
    <row r="11" spans="1:2" ht="14.25">
      <c r="A11" s="71"/>
      <c r="B11" s="72"/>
    </row>
    <row r="12" spans="1:3" ht="14.25" customHeight="1">
      <c r="A12" s="68" t="s">
        <v>3</v>
      </c>
      <c r="B12" s="64"/>
      <c r="C12" s="64"/>
    </row>
    <row r="13" spans="1:3" ht="14.25" customHeight="1">
      <c r="A13" s="64"/>
      <c r="B13" s="64"/>
      <c r="C13" s="64"/>
    </row>
    <row r="14" spans="1:3" ht="15.75" customHeight="1">
      <c r="A14" s="63" t="s">
        <v>5</v>
      </c>
      <c r="B14" s="64"/>
      <c r="C14" s="2"/>
    </row>
    <row r="15" spans="1:5" ht="15.75" customHeight="1">
      <c r="A15" s="65" t="s">
        <v>53</v>
      </c>
      <c r="B15" s="65"/>
      <c r="C15" s="21">
        <f>1/SQRT(1+(C6/C5)^2)</f>
        <v>0.8814799700287821</v>
      </c>
      <c r="D15" s="20" t="s">
        <v>103</v>
      </c>
      <c r="E15" s="38">
        <f>IF(C8="C40",19.1,IF(C8="C35",16.7,IF(C8="C30",14.3,IF(C8="C25",11.9,IF(C8="C20",9.6,IF(C8="C15",7.2,0))))))</f>
        <v>14.3</v>
      </c>
    </row>
    <row r="16" spans="1:5" ht="15.75" customHeight="1">
      <c r="A16" s="73" t="s">
        <v>32</v>
      </c>
      <c r="B16" s="20" t="s">
        <v>57</v>
      </c>
      <c r="C16" s="39">
        <f>(C5+C6)*0.65/C5</f>
        <v>0.9982142857142857</v>
      </c>
      <c r="D16" s="20" t="s">
        <v>116</v>
      </c>
      <c r="E16" s="26">
        <f>IF(C8="C80",0.94,IF(C8="C75",0.95,IF(C8="C70",0.96,IF(C8="C65",0.97,IF(C8="C60",0.98,IF(C8="C15",0.99,1))))))</f>
        <v>1</v>
      </c>
    </row>
    <row r="17" spans="1:5" ht="15.75" customHeight="1">
      <c r="A17" s="73"/>
      <c r="B17" s="20" t="s">
        <v>56</v>
      </c>
      <c r="C17" s="39">
        <f>0.5*25*C6/1000</f>
        <v>1.875</v>
      </c>
      <c r="D17" s="20" t="s">
        <v>74</v>
      </c>
      <c r="E17" s="28">
        <f>IF(C8="C40",2.39,IF(C8="C35",2.2,IF(C8="C30",2.01,IF(C8="C25",1.78,IF(C8="C20",1.54,IF(C8="C15",1.27,0))))))</f>
        <v>2.01</v>
      </c>
    </row>
    <row r="18" spans="1:5" ht="15.75" customHeight="1">
      <c r="A18" s="73"/>
      <c r="B18" s="20" t="s">
        <v>55</v>
      </c>
      <c r="C18" s="39">
        <f>E20/1000*25/C15</f>
        <v>5.105050770300618</v>
      </c>
      <c r="D18" s="20" t="s">
        <v>71</v>
      </c>
      <c r="E18" s="40">
        <f>IF(C8="C40",32500,IF(C8="C35",31500,IF(C8="C30",30000,IF(C8="C25",28000,IF(C8="C20",25500,IF(C8="C15",22000,0))))))</f>
        <v>30000</v>
      </c>
    </row>
    <row r="19" spans="1:5" ht="15.75" customHeight="1">
      <c r="A19" s="73"/>
      <c r="B19" s="20" t="s">
        <v>54</v>
      </c>
      <c r="C19" s="39">
        <f>0.34/C15</f>
        <v>0.3857149470893801</v>
      </c>
      <c r="D19" s="20" t="s">
        <v>70</v>
      </c>
      <c r="E19" s="20">
        <f>C7/25</f>
        <v>171.2</v>
      </c>
    </row>
    <row r="20" spans="1:5" ht="15.75" customHeight="1">
      <c r="A20" s="73"/>
      <c r="B20" s="20" t="s">
        <v>34</v>
      </c>
      <c r="C20" s="41">
        <v>0.4</v>
      </c>
      <c r="D20" s="20" t="s">
        <v>69</v>
      </c>
      <c r="E20" s="42">
        <f>IF(ROUND(E19,-1)&lt;E19,ROUND(E19,-1)+10,ROUND(E19,-1))</f>
        <v>180</v>
      </c>
    </row>
    <row r="21" spans="1:5" ht="15.75" customHeight="1">
      <c r="A21" s="65" t="s">
        <v>72</v>
      </c>
      <c r="B21" s="65"/>
      <c r="C21" s="43">
        <f>SUM(C16:C20)</f>
        <v>8.763980003104285</v>
      </c>
      <c r="D21" s="20" t="s">
        <v>67</v>
      </c>
      <c r="E21" s="20">
        <f>IF(E25&lt;10,E20-20,E20-15-E25/2)</f>
        <v>157</v>
      </c>
    </row>
    <row r="22" spans="1:5" ht="15.75" customHeight="1">
      <c r="A22" s="65" t="s">
        <v>73</v>
      </c>
      <c r="B22" s="65"/>
      <c r="C22" s="26">
        <f>1.2*C21+1.4*E5</f>
        <v>15.41677600372514</v>
      </c>
      <c r="D22" s="20" t="s">
        <v>68</v>
      </c>
      <c r="E22" s="20">
        <f>1.05*C7</f>
        <v>4494</v>
      </c>
    </row>
    <row r="23" spans="1:5" ht="15.75" customHeight="1">
      <c r="A23" s="71"/>
      <c r="B23" s="72"/>
      <c r="E23" s="1"/>
    </row>
    <row r="24" spans="1:5" ht="15.75" customHeight="1">
      <c r="A24" s="63" t="s">
        <v>6</v>
      </c>
      <c r="B24" s="64"/>
      <c r="E24" s="1"/>
    </row>
    <row r="25" spans="1:5" ht="15.75" customHeight="1">
      <c r="A25" s="65" t="s">
        <v>79</v>
      </c>
      <c r="B25" s="65"/>
      <c r="C25" s="26">
        <f>C22*(E22/1000)^2/8</f>
        <v>38.91972039689613</v>
      </c>
      <c r="D25" s="20" t="s">
        <v>75</v>
      </c>
      <c r="E25" s="34">
        <v>16</v>
      </c>
    </row>
    <row r="26" spans="1:5" ht="15.75" customHeight="1">
      <c r="A26" s="65" t="s">
        <v>117</v>
      </c>
      <c r="B26" s="65"/>
      <c r="C26" s="27">
        <f>C25*10^6/(E16*E15*1000*E21^2)</f>
        <v>0.11041659982205021</v>
      </c>
      <c r="D26" s="20" t="s">
        <v>76</v>
      </c>
      <c r="E26" s="34">
        <v>125</v>
      </c>
    </row>
    <row r="27" spans="1:5" ht="15.75" customHeight="1">
      <c r="A27" s="65" t="s">
        <v>19</v>
      </c>
      <c r="B27" s="65"/>
      <c r="C27" s="27">
        <f>(1+SQRT(1-2*C26))/2</f>
        <v>0.9413521270923875</v>
      </c>
      <c r="D27" s="20" t="s">
        <v>77</v>
      </c>
      <c r="E27" s="35">
        <f>PI()*(E25/2)^2*1000/E26</f>
        <v>1608.495438637974</v>
      </c>
    </row>
    <row r="28" spans="1:5" ht="15.75" customHeight="1">
      <c r="A28" s="65" t="s">
        <v>78</v>
      </c>
      <c r="B28" s="65"/>
      <c r="C28" s="36">
        <f>C25*10^6/(C27*E7*E21)</f>
        <v>877.8022630992066</v>
      </c>
      <c r="D28" s="28" t="s">
        <v>49</v>
      </c>
      <c r="E28" s="37" t="str">
        <f>IF(C28&gt;E27,"不满足","满足")</f>
        <v>满足</v>
      </c>
    </row>
    <row r="29" spans="1:2" ht="15.75" customHeight="1">
      <c r="A29" s="69"/>
      <c r="B29" s="70"/>
    </row>
    <row r="30" spans="1:2" ht="15.75" customHeight="1">
      <c r="A30" s="63" t="s">
        <v>7</v>
      </c>
      <c r="B30" s="64"/>
    </row>
    <row r="31" spans="1:5" ht="15.75" customHeight="1">
      <c r="A31" s="65" t="s">
        <v>80</v>
      </c>
      <c r="B31" s="65"/>
      <c r="C31" s="26">
        <f>(C21+E5)*(E22/1000)^2/8</f>
        <v>30.96047270574678</v>
      </c>
      <c r="D31" s="20" t="s">
        <v>23</v>
      </c>
      <c r="E31" s="27">
        <f>E27/(0.5*E20*1000)</f>
        <v>0.017872171540421936</v>
      </c>
    </row>
    <row r="32" spans="1:5" ht="15.75" customHeight="1">
      <c r="A32" s="65" t="s">
        <v>81</v>
      </c>
      <c r="B32" s="65"/>
      <c r="C32" s="26">
        <f>(C21+E6*E5)*(E22/1000)^2/8</f>
        <v>26.54258983074678</v>
      </c>
      <c r="D32" s="20" t="s">
        <v>65</v>
      </c>
      <c r="E32" s="27">
        <f>IF(E31&lt;0.01,0.01,E31)</f>
        <v>0.017872171540421936</v>
      </c>
    </row>
    <row r="33" spans="1:5" ht="15.75" customHeight="1">
      <c r="A33" s="65" t="s">
        <v>110</v>
      </c>
      <c r="B33" s="65"/>
      <c r="C33" s="26">
        <f>IF(E27=0,0,C31*10^6/(0.87*E21*E27))</f>
        <v>140.91877012127156</v>
      </c>
      <c r="D33" s="28" t="s">
        <v>112</v>
      </c>
      <c r="E33" s="29">
        <f>E25/E9</f>
        <v>22.857142857142858</v>
      </c>
    </row>
    <row r="34" spans="1:5" ht="15.75" customHeight="1">
      <c r="A34" s="65" t="s">
        <v>111</v>
      </c>
      <c r="B34" s="65"/>
      <c r="C34" s="21">
        <f>IF(C33=0,0,1.1-0.65*E17/(E31*C33))</f>
        <v>0.5812438652779737</v>
      </c>
      <c r="D34" s="30" t="s">
        <v>114</v>
      </c>
      <c r="E34" s="21">
        <f>IF(C34&gt;1,1,IF(C34&lt;0.2,0.2,C34))</f>
        <v>0.5812438652779737</v>
      </c>
    </row>
    <row r="35" spans="1:5" ht="15.75" customHeight="1">
      <c r="A35" s="67" t="s">
        <v>115</v>
      </c>
      <c r="B35" s="65"/>
      <c r="C35" s="65"/>
      <c r="D35" s="65"/>
      <c r="E35" s="31">
        <v>20</v>
      </c>
    </row>
    <row r="36" spans="1:5" ht="15.75" customHeight="1">
      <c r="A36" s="65" t="s">
        <v>113</v>
      </c>
      <c r="B36" s="65"/>
      <c r="C36" s="65"/>
      <c r="D36" s="65"/>
      <c r="E36" s="23">
        <f>IF(E27=0,0,C9*E34*C33*(1.9*MIN(MAX(20,E35),65)+0.08*E33/E32)/E8)</f>
        <v>0.12067496917828974</v>
      </c>
    </row>
    <row r="37" spans="1:5" ht="15.75" customHeight="1">
      <c r="A37" s="65" t="s">
        <v>118</v>
      </c>
      <c r="B37" s="65"/>
      <c r="C37" s="32">
        <v>0.3</v>
      </c>
      <c r="D37" s="20" t="s">
        <v>119</v>
      </c>
      <c r="E37" s="33" t="str">
        <f>IF(E36&gt;C37,"不满足","满足")</f>
        <v>满足</v>
      </c>
    </row>
    <row r="38" spans="1:2" ht="15.75" customHeight="1">
      <c r="A38" s="71"/>
      <c r="B38" s="72"/>
    </row>
    <row r="39" spans="1:2" ht="15.75" customHeight="1">
      <c r="A39" s="63" t="s">
        <v>2</v>
      </c>
      <c r="B39" s="64"/>
    </row>
    <row r="40" spans="1:5" ht="15.75" customHeight="1">
      <c r="A40" s="65" t="s">
        <v>62</v>
      </c>
      <c r="B40" s="65"/>
      <c r="C40" s="65"/>
      <c r="D40" s="65"/>
      <c r="E40" s="21">
        <f>E8*E27/(E18*1000*E21)</f>
        <v>0.06830129251116662</v>
      </c>
    </row>
    <row r="41" spans="1:5" ht="15.75" customHeight="1">
      <c r="A41" s="65" t="s">
        <v>63</v>
      </c>
      <c r="B41" s="65"/>
      <c r="C41" s="65"/>
      <c r="D41" s="65"/>
      <c r="E41" s="22">
        <f>E8*E27*E21^2/(1.15*E34+0.2+6*E40)</f>
        <v>6203507931893.801</v>
      </c>
    </row>
    <row r="42" spans="1:5" ht="15.75" customHeight="1">
      <c r="A42" s="65" t="s">
        <v>61</v>
      </c>
      <c r="B42" s="65"/>
      <c r="C42" s="65"/>
      <c r="D42" s="65"/>
      <c r="E42" s="22">
        <f>E41*C31/(C31+C32)</f>
        <v>3340057547080.925</v>
      </c>
    </row>
    <row r="43" spans="1:5" ht="15.75" customHeight="1">
      <c r="A43" s="65" t="s">
        <v>60</v>
      </c>
      <c r="B43" s="65"/>
      <c r="C43" s="23">
        <f>IF(E27=0,0,5*C31*10^6*E22^2/(48*E42))</f>
        <v>19.500625255217905</v>
      </c>
      <c r="D43" s="20" t="s">
        <v>120</v>
      </c>
      <c r="E43" s="24">
        <f>E22/200</f>
        <v>22.47</v>
      </c>
    </row>
    <row r="44" spans="1:5" ht="15.75" customHeight="1">
      <c r="A44" s="69"/>
      <c r="B44" s="70"/>
      <c r="D44" s="20" t="s">
        <v>64</v>
      </c>
      <c r="E44" s="25" t="str">
        <f>IF(C43&lt;E43,"满足","不满足")</f>
        <v>满足</v>
      </c>
    </row>
  </sheetData>
  <mergeCells count="38">
    <mergeCell ref="A9:B9"/>
    <mergeCell ref="A41:D41"/>
    <mergeCell ref="A42:D42"/>
    <mergeCell ref="A16:A20"/>
    <mergeCell ref="A21:B21"/>
    <mergeCell ref="A28:B28"/>
    <mergeCell ref="A39:B39"/>
    <mergeCell ref="A26:B26"/>
    <mergeCell ref="A27:B27"/>
    <mergeCell ref="A36:D36"/>
    <mergeCell ref="A43:B43"/>
    <mergeCell ref="A44:B44"/>
    <mergeCell ref="A40:D40"/>
    <mergeCell ref="A37:B37"/>
    <mergeCell ref="A38:B38"/>
    <mergeCell ref="A35:D35"/>
    <mergeCell ref="A24:B24"/>
    <mergeCell ref="A25:B25"/>
    <mergeCell ref="A29:B29"/>
    <mergeCell ref="A30:B30"/>
    <mergeCell ref="A31:B31"/>
    <mergeCell ref="A32:B32"/>
    <mergeCell ref="A34:B34"/>
    <mergeCell ref="A33:B33"/>
    <mergeCell ref="A10:B10"/>
    <mergeCell ref="A11:B11"/>
    <mergeCell ref="A22:B22"/>
    <mergeCell ref="A23:B23"/>
    <mergeCell ref="A2:B2"/>
    <mergeCell ref="A1:B1"/>
    <mergeCell ref="A14:B14"/>
    <mergeCell ref="A15:B15"/>
    <mergeCell ref="A3:C4"/>
    <mergeCell ref="A5:B5"/>
    <mergeCell ref="A6:B6"/>
    <mergeCell ref="A7:B7"/>
    <mergeCell ref="A8:B8"/>
    <mergeCell ref="A12:C13"/>
  </mergeCells>
  <conditionalFormatting sqref="E27">
    <cfRule type="cellIs" priority="1" dxfId="0" operator="lessThan" stopIfTrue="1">
      <formula>$C$28</formula>
    </cfRule>
  </conditionalFormatting>
  <dataValidations count="15">
    <dataValidation type="whole" operator="greaterThan" allowBlank="1" showInputMessage="1" showErrorMessage="1" error="输入值≯0，错误！请重新输入。" imeMode="off" sqref="C7">
      <formula1>0</formula1>
    </dataValidation>
    <dataValidation type="decimal" operator="greaterThan" allowBlank="1" showInputMessage="1" showErrorMessage="1" error="输入值≯0，错误！请重新输入。" imeMode="off" sqref="C5:C6">
      <formula1>0</formula1>
    </dataValidation>
    <dataValidation type="whole" operator="greaterThan" allowBlank="1" showInputMessage="1" showErrorMessage="1" sqref="E19 C23:C24 E22">
      <formula1>0</formula1>
    </dataValidation>
    <dataValidation type="decimal" operator="greaterThan" allowBlank="1" showInputMessage="1" showErrorMessage="1" error="输入值≯0，错误！请重新输入。" sqref="E5">
      <formula1>0</formula1>
    </dataValidation>
    <dataValidation type="list" showInputMessage="1" showErrorMessage="1" error="输入值超界[C15,C40]！请重新输入。" sqref="C8">
      <formula1>"C15,C20,C25,C30,C35,C40,C45,C50,C55,C60,C65,C70,C75,C80"</formula1>
    </dataValidation>
    <dataValidation type="list" operator="greaterThanOrEqual" showInputMessage="1" showErrorMessage="1" error="输入值超界[6,25]！请重新输入。" sqref="E25">
      <formula1>"6,8,10,12,14,16,18,20,22,25"</formula1>
    </dataValidation>
    <dataValidation operator="greaterThanOrEqual" allowBlank="1" showInputMessage="1" showErrorMessage="1" sqref="E27"/>
    <dataValidation type="decimal" operator="greaterThanOrEqual" allowBlank="1" showInputMessage="1" showErrorMessage="1" error="输入值＜0，错误！请重新输入。" sqref="E6">
      <formula1>0</formula1>
    </dataValidation>
    <dataValidation type="list" operator="greaterThanOrEqual" showInputMessage="1" showErrorMessage="1" error="输入值超界[100,300]！请重新输入。" sqref="E26">
      <formula1>"100,110,120,125,130,140,150,160,170,175,180,190,200,220,240,250,260,280,300"</formula1>
    </dataValidation>
    <dataValidation type="list" operator="greaterThan" showInputMessage="1" showErrorMessage="1" error="输入值错误！请重新输入。" sqref="E8">
      <formula1>"200000,210000"</formula1>
    </dataValidation>
    <dataValidation type="list" operator="greaterThan" showInputMessage="1" showErrorMessage="1" error="输入值错误！请重新输入。" sqref="E7">
      <formula1>"210,300,360"</formula1>
    </dataValidation>
    <dataValidation type="list" showInputMessage="1" showErrorMessage="1" error="输入值超界[C15,C40]！请重新输入。" sqref="C9">
      <formula1>"2.1,2.4,2.7"</formula1>
    </dataValidation>
    <dataValidation type="list" operator="greaterThan" showInputMessage="1" showErrorMessage="1" error="输入值错误！请重新输入。" sqref="E9">
      <formula1>"0.7,1.0"</formula1>
    </dataValidation>
    <dataValidation operator="greaterThanOrEqual" showInputMessage="1" showErrorMessage="1" sqref="E35"/>
    <dataValidation type="list" showInputMessage="1" showErrorMessage="1" sqref="C37">
      <formula1>"0.2,0.3,0.4"</formula1>
    </dataValidation>
  </dataValidations>
  <printOptions horizontalCentered="1"/>
  <pageMargins left="0.5511811023622047" right="0.5511811023622047" top="0.7874015748031497" bottom="0.7874015748031497" header="0.3937007874015748" footer="0.3937007874015748"/>
  <pageSetup horizontalDpi="75" verticalDpi="7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E7" sqref="E7"/>
    </sheetView>
  </sheetViews>
  <sheetFormatPr defaultColWidth="9.00390625" defaultRowHeight="14.25"/>
  <cols>
    <col min="1" max="1" width="2.625" style="5" customWidth="1"/>
    <col min="2" max="2" width="28.625" style="0" customWidth="1"/>
    <col min="3" max="3" width="9.625" style="0" customWidth="1"/>
    <col min="4" max="4" width="30.625" style="0" customWidth="1"/>
    <col min="5" max="5" width="9.625" style="0" customWidth="1"/>
    <col min="6" max="6" width="9.125" style="2" bestFit="1" customWidth="1"/>
    <col min="7" max="10" width="9.75390625" style="2" bestFit="1" customWidth="1"/>
  </cols>
  <sheetData>
    <row r="1" spans="1:2" ht="15.75">
      <c r="A1" s="74"/>
      <c r="B1" s="60"/>
    </row>
    <row r="2" spans="1:2" ht="14.25">
      <c r="A2" s="75"/>
      <c r="B2" s="60"/>
    </row>
    <row r="3" spans="1:10" ht="14.25" customHeight="1">
      <c r="A3" s="19" t="s">
        <v>1</v>
      </c>
      <c r="B3" s="47"/>
      <c r="C3" s="47"/>
      <c r="F3" s="84" t="s">
        <v>39</v>
      </c>
      <c r="G3" s="85"/>
      <c r="H3" s="85"/>
      <c r="I3" s="85"/>
      <c r="J3" s="86"/>
    </row>
    <row r="4" spans="1:10" ht="14.25" customHeight="1">
      <c r="A4" s="47"/>
      <c r="B4" s="47"/>
      <c r="C4" s="47"/>
      <c r="F4" s="10" t="s">
        <v>29</v>
      </c>
      <c r="G4" s="11" t="s">
        <v>30</v>
      </c>
      <c r="H4" s="12" t="s">
        <v>31</v>
      </c>
      <c r="I4" s="78" t="s">
        <v>40</v>
      </c>
      <c r="J4" s="76" t="s">
        <v>41</v>
      </c>
    </row>
    <row r="5" spans="1:10" ht="15.75" customHeight="1">
      <c r="A5" s="65" t="s">
        <v>82</v>
      </c>
      <c r="B5" s="65"/>
      <c r="C5" s="49">
        <f>'梯段板'!E5</f>
        <v>3.5</v>
      </c>
      <c r="D5" s="28" t="s">
        <v>25</v>
      </c>
      <c r="E5" s="28" t="str">
        <f>'梯段板'!C8</f>
        <v>C30</v>
      </c>
      <c r="F5" s="54">
        <v>0.5</v>
      </c>
      <c r="G5" s="15">
        <v>0.0965</v>
      </c>
      <c r="H5" s="8">
        <v>0.0174</v>
      </c>
      <c r="I5" s="79"/>
      <c r="J5" s="77"/>
    </row>
    <row r="6" spans="1:10" ht="15.75" customHeight="1">
      <c r="A6" s="65" t="s">
        <v>83</v>
      </c>
      <c r="B6" s="65"/>
      <c r="C6" s="31">
        <v>100</v>
      </c>
      <c r="D6" s="20" t="s">
        <v>85</v>
      </c>
      <c r="E6" s="28">
        <f>'梯段板'!E7</f>
        <v>300</v>
      </c>
      <c r="F6" s="54">
        <v>0.55</v>
      </c>
      <c r="G6" s="16">
        <v>0.0892</v>
      </c>
      <c r="H6" s="8">
        <v>0.021</v>
      </c>
      <c r="I6" s="15">
        <f>IF(E30&lt;F5,0,IF(E30&gt;F6,0,(E30-F5)*(G6-G5)/(F6-F5)+G5))</f>
        <v>0.08953651300775903</v>
      </c>
      <c r="J6" s="13">
        <f>IF(I6=0,0,(E30-F5)*(H6-H5)/(F6-F5)+H5)</f>
        <v>0.020834048379735275</v>
      </c>
    </row>
    <row r="7" spans="1:10" ht="15.75" customHeight="1">
      <c r="A7" s="69"/>
      <c r="B7" s="72"/>
      <c r="D7" s="2"/>
      <c r="F7" s="7">
        <v>0.6</v>
      </c>
      <c r="G7" s="16">
        <v>0.082</v>
      </c>
      <c r="H7" s="8">
        <v>0.0242</v>
      </c>
      <c r="I7" s="16">
        <f>IF(E30&lt;F6,0,IF(E30&gt;F7,0,(E30-F6)*(G7-G6)/(F7-F6)+G6))</f>
        <v>0</v>
      </c>
      <c r="J7" s="13">
        <f>IF(I7=0,0,(E30-F6)*(H7-H6)/(F7-F6)+H6)</f>
        <v>0</v>
      </c>
    </row>
    <row r="8" spans="1:10" ht="15.75" customHeight="1">
      <c r="A8" s="81" t="s">
        <v>9</v>
      </c>
      <c r="B8" s="47"/>
      <c r="D8" s="6" t="s">
        <v>10</v>
      </c>
      <c r="F8" s="7">
        <v>0.65</v>
      </c>
      <c r="G8" s="16">
        <v>0.075</v>
      </c>
      <c r="H8" s="8">
        <v>0.0271</v>
      </c>
      <c r="I8" s="16">
        <f>IF(E30&lt;F7,0,IF(E30&gt;F8,0,(E30-F7)*(G8-G7)/(F8-F7)+G7))</f>
        <v>0</v>
      </c>
      <c r="J8" s="13">
        <f>IF(I8=0,0,(E30-F7)*(H8-H7)/(F8-F7)+H7)</f>
        <v>0</v>
      </c>
    </row>
    <row r="9" spans="1:10" ht="15.75" customHeight="1">
      <c r="A9" s="65" t="s">
        <v>84</v>
      </c>
      <c r="B9" s="65"/>
      <c r="C9" s="52">
        <v>0</v>
      </c>
      <c r="D9" s="20" t="s">
        <v>86</v>
      </c>
      <c r="E9" s="52">
        <v>2400</v>
      </c>
      <c r="F9" s="54">
        <v>0.7</v>
      </c>
      <c r="G9" s="16">
        <v>0.0683</v>
      </c>
      <c r="H9" s="8">
        <v>0.0296</v>
      </c>
      <c r="I9" s="16">
        <f>IF(E30&lt;F8,0,IF(E30&gt;F9,0,(E30-F8)*(G9-G8)/(F9-F8)+G8))</f>
        <v>0</v>
      </c>
      <c r="J9" s="13">
        <f>IF(I9=0,0,(E30-F8)*(H9-H8)/(F9-F8)+H8)</f>
        <v>0</v>
      </c>
    </row>
    <row r="10" spans="1:10" ht="15.75" customHeight="1">
      <c r="A10" s="69"/>
      <c r="B10" s="69"/>
      <c r="C10" s="4"/>
      <c r="D10" s="20" t="s">
        <v>87</v>
      </c>
      <c r="E10" s="52">
        <v>4382</v>
      </c>
      <c r="F10" s="54">
        <v>0.75</v>
      </c>
      <c r="G10" s="16">
        <v>0.062</v>
      </c>
      <c r="H10" s="8">
        <v>0.0317</v>
      </c>
      <c r="I10" s="16">
        <f>IF(E30&lt;F9,0,IF(E30&gt;F10,0,(E30-F9)*(G10-G9)/(F10-F9)+G9))</f>
        <v>0</v>
      </c>
      <c r="J10" s="13">
        <f>IF(I10=0,0,(E30-F9)*(H10-H9)/(F10-F9)+H9)</f>
        <v>0</v>
      </c>
    </row>
    <row r="11" spans="1:10" ht="15.75" customHeight="1">
      <c r="A11" s="69"/>
      <c r="B11" s="70"/>
      <c r="F11" s="7">
        <v>0.8</v>
      </c>
      <c r="G11" s="16">
        <v>0.0561</v>
      </c>
      <c r="H11" s="8">
        <v>0.0334</v>
      </c>
      <c r="I11" s="16">
        <f>IF(E30&lt;F10,0,IF(E30&gt;F11,0,(E30-F10)*(G11-G10)/(F11-F10)+G10))</f>
        <v>0</v>
      </c>
      <c r="J11" s="13">
        <f>IF(I11=0,0,(E30-F10)*(H11-H10)/(F11-F10)+H10)</f>
        <v>0</v>
      </c>
    </row>
    <row r="12" spans="1:10" ht="14.25" customHeight="1">
      <c r="A12" s="19" t="s">
        <v>11</v>
      </c>
      <c r="B12" s="47"/>
      <c r="C12" s="47"/>
      <c r="F12" s="7">
        <v>0.85</v>
      </c>
      <c r="G12" s="16">
        <v>0.0506</v>
      </c>
      <c r="H12" s="8">
        <v>0.0348</v>
      </c>
      <c r="I12" s="16">
        <f>IF(E30&lt;F11,0,IF(E30&gt;F12,0,(E30-F11)*(G12-G11)/(F12-F11)+G11))</f>
        <v>0</v>
      </c>
      <c r="J12" s="13">
        <f>IF(I12=0,0,(E30-F11)*(H12-H11)/(F12-F11)+H11)</f>
        <v>0</v>
      </c>
    </row>
    <row r="13" spans="1:10" ht="14.25" customHeight="1">
      <c r="A13" s="47"/>
      <c r="B13" s="47"/>
      <c r="C13" s="47"/>
      <c r="F13" s="7">
        <v>0.9</v>
      </c>
      <c r="G13" s="16">
        <v>0.0456</v>
      </c>
      <c r="H13" s="8">
        <v>0.0358</v>
      </c>
      <c r="I13" s="16">
        <f>IF(E30&lt;F12,0,IF(E30&gt;F13,0,(E30-F12)*(G13-G12)/(F13-F12)+G12))</f>
        <v>0</v>
      </c>
      <c r="J13" s="13">
        <f>IF(I13=0,0,(E30-F12)*(H13-H12)/(F13-F12)+H12)</f>
        <v>0</v>
      </c>
    </row>
    <row r="14" spans="1:10" ht="15.75" customHeight="1">
      <c r="A14" s="80" t="s">
        <v>5</v>
      </c>
      <c r="B14" s="47"/>
      <c r="F14" s="7">
        <v>0.95</v>
      </c>
      <c r="G14" s="16">
        <v>0.041</v>
      </c>
      <c r="H14" s="8">
        <v>0.0364</v>
      </c>
      <c r="I14" s="16">
        <f>IF(E30&lt;F13,0,IF(E30&gt;F14,0,(E30-F13)*(G14-G13)/(F14-F13)+G13))</f>
        <v>0</v>
      </c>
      <c r="J14" s="13">
        <f>IF(I14=0,0,(E30-F13)*(H14-H13)/(F14-F13)+H13)</f>
        <v>0</v>
      </c>
    </row>
    <row r="15" spans="1:10" ht="15.75" customHeight="1">
      <c r="A15" s="73" t="s">
        <v>33</v>
      </c>
      <c r="B15" s="58" t="s">
        <v>36</v>
      </c>
      <c r="C15" s="59">
        <f>IF(C9=0,0,0.65)</f>
        <v>0</v>
      </c>
      <c r="D15" s="20" t="s">
        <v>103</v>
      </c>
      <c r="E15" s="38">
        <f>IF(E5="C40",19.1,IF(E5="C35",16.7,IF(E5="C30",14.3,IF(E5="C25",11.9,IF(E5="C20",9.6,IF(E5="C15",7.2,0))))))</f>
        <v>14.3</v>
      </c>
      <c r="F15" s="53">
        <v>1</v>
      </c>
      <c r="G15" s="17">
        <v>0.0368</v>
      </c>
      <c r="H15" s="9">
        <v>0.0368</v>
      </c>
      <c r="I15" s="17">
        <f>IF(E30&lt;F14,0,IF(E30&gt;F15,0,(E30-F14)*(G15-G14)/(F15-F14)+G14))</f>
        <v>0</v>
      </c>
      <c r="J15" s="14">
        <f>IF(I15=0,0,(E30-F14)*(H15-H14)/(F15-F14)+H14)</f>
        <v>0</v>
      </c>
    </row>
    <row r="16" spans="1:5" ht="15.75" customHeight="1">
      <c r="A16" s="73"/>
      <c r="B16" s="58" t="s">
        <v>37</v>
      </c>
      <c r="C16" s="59">
        <f>IF(C9=0,0,C6*25/1000)</f>
        <v>0</v>
      </c>
      <c r="D16" s="20" t="s">
        <v>116</v>
      </c>
      <c r="E16" s="26">
        <f>IF(E5="C80",0.94,IF(E5="C75",0.95,IF(E5="C70",0.96,IF(E5="C65",0.97,IF(E5="C60",0.98,IF(E5="C15",0.99,1))))))</f>
        <v>1</v>
      </c>
    </row>
    <row r="17" spans="1:5" ht="15.75" customHeight="1">
      <c r="A17" s="73"/>
      <c r="B17" s="58" t="s">
        <v>35</v>
      </c>
      <c r="C17" s="59">
        <f>IF(C9=0,0,0.34)</f>
        <v>0</v>
      </c>
      <c r="D17" s="20" t="s">
        <v>88</v>
      </c>
      <c r="E17" s="20">
        <f>IF(C9=0,0,C6-20)</f>
        <v>0</v>
      </c>
    </row>
    <row r="18" spans="1:5" ht="15.75" customHeight="1">
      <c r="A18" s="65" t="s">
        <v>72</v>
      </c>
      <c r="B18" s="65"/>
      <c r="C18" s="59">
        <f>SUM(C15:C17)</f>
        <v>0</v>
      </c>
      <c r="D18" s="20" t="s">
        <v>73</v>
      </c>
      <c r="E18" s="59">
        <f>IF(C9=0,0,1.2*C18+1.4*C5)</f>
        <v>0</v>
      </c>
    </row>
    <row r="19" spans="1:2" ht="15.75" customHeight="1">
      <c r="A19" s="69"/>
      <c r="B19" s="70"/>
    </row>
    <row r="20" spans="1:2" ht="15.75" customHeight="1">
      <c r="A20" s="48" t="s">
        <v>6</v>
      </c>
      <c r="B20" s="75"/>
    </row>
    <row r="21" spans="1:5" ht="15.75" customHeight="1">
      <c r="A21" s="65" t="s">
        <v>79</v>
      </c>
      <c r="B21" s="65"/>
      <c r="C21" s="26">
        <f>E18*(C9/1000)^2/8</f>
        <v>0</v>
      </c>
      <c r="D21" s="20" t="s">
        <v>75</v>
      </c>
      <c r="E21" s="31">
        <v>8</v>
      </c>
    </row>
    <row r="22" spans="1:5" ht="15.75" customHeight="1">
      <c r="A22" s="65" t="s">
        <v>117</v>
      </c>
      <c r="B22" s="65"/>
      <c r="C22" s="27">
        <f>IF(C9=0,0,IF(E17=0,1,C21*10^6/(E16*E15*1000*E17^2)))</f>
        <v>0</v>
      </c>
      <c r="D22" s="20" t="s">
        <v>76</v>
      </c>
      <c r="E22" s="31">
        <v>200</v>
      </c>
    </row>
    <row r="23" spans="1:5" ht="15.75" customHeight="1">
      <c r="A23" s="65" t="s">
        <v>19</v>
      </c>
      <c r="B23" s="65"/>
      <c r="C23" s="27">
        <f>IF(C22=0,0,(1+SQRT(1-2*C22))/2)</f>
        <v>0</v>
      </c>
      <c r="D23" s="20" t="s">
        <v>77</v>
      </c>
      <c r="E23" s="35">
        <f>IF(C9=0,0,PI()*(E21/2)^2*1000/E22)</f>
        <v>0</v>
      </c>
    </row>
    <row r="24" spans="1:5" ht="15.75" customHeight="1">
      <c r="A24" s="65" t="s">
        <v>78</v>
      </c>
      <c r="B24" s="65"/>
      <c r="C24" s="36">
        <f>IF(C9=0,0,C21*10^6/(C23*E6*E17))</f>
        <v>0</v>
      </c>
      <c r="D24" s="28" t="s">
        <v>49</v>
      </c>
      <c r="E24" s="37">
        <f>IF(C9=0,"",IF(C24&gt;E23,"不满足","满足"))</f>
      </c>
    </row>
    <row r="25" spans="1:3" ht="15.75" customHeight="1">
      <c r="A25" s="69"/>
      <c r="B25" s="69"/>
      <c r="C25" s="18"/>
    </row>
    <row r="26" spans="1:3" ht="14.25" customHeight="1">
      <c r="A26" s="82" t="s">
        <v>12</v>
      </c>
      <c r="B26" s="47"/>
      <c r="C26" s="47"/>
    </row>
    <row r="27" spans="1:3" ht="14.25" customHeight="1">
      <c r="A27" s="47"/>
      <c r="B27" s="47"/>
      <c r="C27" s="47"/>
    </row>
    <row r="28" spans="1:2" ht="15.75" customHeight="1">
      <c r="A28" s="48" t="s">
        <v>5</v>
      </c>
      <c r="B28" s="47"/>
    </row>
    <row r="29" spans="1:5" ht="15.75" customHeight="1">
      <c r="A29" s="73" t="s">
        <v>33</v>
      </c>
      <c r="B29" s="58" t="s">
        <v>36</v>
      </c>
      <c r="C29" s="59">
        <f>IF(E9=0,0,0.65)</f>
        <v>0.65</v>
      </c>
      <c r="D29" s="20" t="s">
        <v>88</v>
      </c>
      <c r="E29" s="20">
        <f>IF(E9=0,0,(C6-20))</f>
        <v>80</v>
      </c>
    </row>
    <row r="30" spans="1:5" ht="15.75" customHeight="1">
      <c r="A30" s="73"/>
      <c r="B30" s="58" t="s">
        <v>37</v>
      </c>
      <c r="C30" s="26">
        <f>IF(E9=0,0,C6*25/1000)</f>
        <v>2.5</v>
      </c>
      <c r="D30" s="57" t="s">
        <v>38</v>
      </c>
      <c r="E30" s="21">
        <f>IF(E10=0,0,E9/E10)</f>
        <v>0.5476951163852122</v>
      </c>
    </row>
    <row r="31" spans="1:5" ht="15.75" customHeight="1">
      <c r="A31" s="73"/>
      <c r="B31" s="58" t="s">
        <v>35</v>
      </c>
      <c r="C31" s="59">
        <f>IF(E9=0,0,0.34)</f>
        <v>0.34</v>
      </c>
      <c r="D31" s="20" t="s">
        <v>28</v>
      </c>
      <c r="E31" s="27">
        <f>IF(E9=0,0,MAX(I6:I15))</f>
        <v>0.08953651300775903</v>
      </c>
    </row>
    <row r="32" spans="1:5" ht="15.75" customHeight="1">
      <c r="A32" s="65" t="s">
        <v>72</v>
      </c>
      <c r="B32" s="65"/>
      <c r="C32" s="59">
        <f>SUM(C29:C31)</f>
        <v>3.4899999999999998</v>
      </c>
      <c r="D32" s="20" t="s">
        <v>27</v>
      </c>
      <c r="E32" s="27">
        <f>IF(E9=0,0,MAX(J6:J15))</f>
        <v>0.020834048379735275</v>
      </c>
    </row>
    <row r="33" spans="1:3" ht="15.75" customHeight="1">
      <c r="A33" s="65" t="s">
        <v>73</v>
      </c>
      <c r="B33" s="65"/>
      <c r="C33" s="26">
        <f>IF(E9=0,0,1.2*C32+1.4*C5)</f>
        <v>9.088</v>
      </c>
    </row>
    <row r="34" spans="1:3" ht="15.75" customHeight="1">
      <c r="A34" s="69"/>
      <c r="B34" s="69"/>
      <c r="C34" s="3"/>
    </row>
    <row r="35" spans="1:2" ht="15.75" customHeight="1">
      <c r="A35" s="80" t="s">
        <v>6</v>
      </c>
      <c r="B35" s="47"/>
    </row>
    <row r="36" spans="1:5" ht="15.75" customHeight="1">
      <c r="A36" s="83" t="s">
        <v>26</v>
      </c>
      <c r="B36" s="65"/>
      <c r="C36" s="27">
        <f>E31+0.2*E32</f>
        <v>0.09370332268370608</v>
      </c>
      <c r="D36" s="20" t="s">
        <v>89</v>
      </c>
      <c r="E36" s="26">
        <f>C36*C33*(E9/1000)^2</f>
        <v>4.905076588125239</v>
      </c>
    </row>
    <row r="37" spans="1:5" ht="15.75" customHeight="1">
      <c r="A37" s="83" t="s">
        <v>21</v>
      </c>
      <c r="B37" s="65"/>
      <c r="C37" s="27">
        <f>E32+0.2*E31</f>
        <v>0.03874135098128708</v>
      </c>
      <c r="D37" s="20" t="s">
        <v>90</v>
      </c>
      <c r="E37" s="26">
        <f>C37*C33*(E9/1000)^2</f>
        <v>2.0279888508553165</v>
      </c>
    </row>
    <row r="38" spans="1:2" ht="15.75" customHeight="1">
      <c r="A38" s="69"/>
      <c r="B38" s="70"/>
    </row>
    <row r="39" spans="1:5" ht="15.75" customHeight="1">
      <c r="A39" s="65" t="s">
        <v>20</v>
      </c>
      <c r="B39" s="65"/>
      <c r="C39" s="26">
        <f>MAX(E36,E37)</f>
        <v>4.905076588125239</v>
      </c>
      <c r="D39" s="20" t="s">
        <v>75</v>
      </c>
      <c r="E39" s="31">
        <v>8</v>
      </c>
    </row>
    <row r="40" spans="1:5" ht="15.75" customHeight="1">
      <c r="A40" s="65" t="s">
        <v>117</v>
      </c>
      <c r="B40" s="65"/>
      <c r="C40" s="55">
        <f>IF(E9=0,0,IF(E10=0,0,C39*10^6/(E16*E15*1000*E29^2)))</f>
        <v>0.05359567950311669</v>
      </c>
      <c r="D40" s="20" t="s">
        <v>76</v>
      </c>
      <c r="E40" s="31">
        <v>150</v>
      </c>
    </row>
    <row r="41" spans="1:5" ht="18.75">
      <c r="A41" s="65" t="s">
        <v>19</v>
      </c>
      <c r="B41" s="65"/>
      <c r="C41" s="27">
        <f>IF(C40=0,0,(1+SQRT(1-2*C40))/2)</f>
        <v>0.9724427587003972</v>
      </c>
      <c r="D41" s="20" t="s">
        <v>77</v>
      </c>
      <c r="E41" s="35">
        <f>IF(E9=0,0,PI()*(E39/2)^2*1000/E40)</f>
        <v>335.1032163829112</v>
      </c>
    </row>
    <row r="42" spans="1:5" ht="18.75">
      <c r="A42" s="65" t="s">
        <v>78</v>
      </c>
      <c r="B42" s="65"/>
      <c r="C42" s="56">
        <f>IF(E9=0,0,IF(E10=0,0,C39*10^6/(C41*E6*E29)))</f>
        <v>210.1698936449713</v>
      </c>
      <c r="D42" s="28" t="s">
        <v>50</v>
      </c>
      <c r="E42" s="25" t="str">
        <f>IF(E9=0,"",IF(C42&gt;E41,"不满足","满足"))</f>
        <v>满足</v>
      </c>
    </row>
  </sheetData>
  <mergeCells count="38">
    <mergeCell ref="A41:B41"/>
    <mergeCell ref="A42:B42"/>
    <mergeCell ref="A29:A31"/>
    <mergeCell ref="F3:J3"/>
    <mergeCell ref="A24:B24"/>
    <mergeCell ref="A25:B25"/>
    <mergeCell ref="A5:B5"/>
    <mergeCell ref="A15:A17"/>
    <mergeCell ref="A23:B23"/>
    <mergeCell ref="A39:B39"/>
    <mergeCell ref="A40:B40"/>
    <mergeCell ref="A36:B36"/>
    <mergeCell ref="A37:B37"/>
    <mergeCell ref="A34:B34"/>
    <mergeCell ref="A38:B38"/>
    <mergeCell ref="A33:B33"/>
    <mergeCell ref="A32:B32"/>
    <mergeCell ref="A35:B35"/>
    <mergeCell ref="A21:B21"/>
    <mergeCell ref="A22:B22"/>
    <mergeCell ref="A26:C27"/>
    <mergeCell ref="A28:B28"/>
    <mergeCell ref="A20:B20"/>
    <mergeCell ref="A3:C4"/>
    <mergeCell ref="A12:C13"/>
    <mergeCell ref="A8:B8"/>
    <mergeCell ref="A9:B9"/>
    <mergeCell ref="A18:B18"/>
    <mergeCell ref="A6:B6"/>
    <mergeCell ref="A7:B7"/>
    <mergeCell ref="J4:J5"/>
    <mergeCell ref="I4:I5"/>
    <mergeCell ref="A14:B14"/>
    <mergeCell ref="A19:B19"/>
    <mergeCell ref="A1:B1"/>
    <mergeCell ref="A2:B2"/>
    <mergeCell ref="A10:B10"/>
    <mergeCell ref="A11:B11"/>
  </mergeCells>
  <conditionalFormatting sqref="E23">
    <cfRule type="cellIs" priority="1" dxfId="0" operator="lessThan" stopIfTrue="1">
      <formula>$C$24</formula>
    </cfRule>
  </conditionalFormatting>
  <conditionalFormatting sqref="E41">
    <cfRule type="cellIs" priority="2" dxfId="0" operator="lessThan" stopIfTrue="1">
      <formula>$C$42</formula>
    </cfRule>
  </conditionalFormatting>
  <dataValidations count="8">
    <dataValidation operator="greaterThan" allowBlank="1" showInputMessage="1" showErrorMessage="1" sqref="E30"/>
    <dataValidation type="list" showInputMessage="1" showErrorMessage="1" error="输入值超界[C15,C40]！请重新输入。" sqref="E5">
      <formula1>"C15,C20,C25,C30,C35,C40,C45,C50,C55,C60,C65,C70,C75,C80"</formula1>
    </dataValidation>
    <dataValidation type="whole" operator="greaterThanOrEqual" allowBlank="1" showInputMessage="1" showErrorMessage="1" error="输入值过小，不满足！请重新输入。" sqref="C6">
      <formula1>60</formula1>
    </dataValidation>
    <dataValidation type="list" operator="greaterThan" showInputMessage="1" showErrorMessage="1" error="输入值错误！请重新输入。" sqref="E6">
      <formula1>"210,310,360"</formula1>
    </dataValidation>
    <dataValidation type="list" operator="greaterThanOrEqual" showInputMessage="1" showErrorMessage="1" error="输入值超界[6,25]！请重新输入。" sqref="E39 E21">
      <formula1>"6,8,10,12,14,16,18,20,22,25"</formula1>
    </dataValidation>
    <dataValidation operator="greaterThanOrEqual" allowBlank="1" showInputMessage="1" showErrorMessage="1" sqref="E23 E41"/>
    <dataValidation type="decimal" operator="greaterThanOrEqual" allowBlank="1" showInputMessage="1" showErrorMessage="1" error="输入值＜0，错误！请重新输入。" sqref="C5">
      <formula1>0</formula1>
    </dataValidation>
    <dataValidation type="list" showInputMessage="1" showErrorMessage="1" error="输入值超界[100,300]！请重新输入。" sqref="E22 E40">
      <formula1>"100,110,120,125,130,140,150,160,170,175,180,190,200,220,240,250,260,280,300"</formula1>
    </dataValidation>
  </dataValidations>
  <printOptions horizontalCentered="1"/>
  <pageMargins left="0.5511811023622047" right="0.5511811023622047" top="0.7874015748031497" bottom="0.7874015748031497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3" sqref="A13:B13"/>
    </sheetView>
  </sheetViews>
  <sheetFormatPr defaultColWidth="9.00390625" defaultRowHeight="14.25"/>
  <cols>
    <col min="1" max="1" width="2.625" style="0" customWidth="1"/>
    <col min="2" max="2" width="28.625" style="2" customWidth="1"/>
    <col min="3" max="3" width="9.625" style="2" customWidth="1"/>
    <col min="4" max="4" width="30.625" style="2" customWidth="1"/>
    <col min="5" max="5" width="9.625" style="2" customWidth="1"/>
    <col min="6" max="6" width="3.625" style="0" customWidth="1"/>
  </cols>
  <sheetData>
    <row r="1" spans="1:2" ht="15.75">
      <c r="A1" s="87"/>
      <c r="B1" s="60"/>
    </row>
    <row r="2" spans="1:2" ht="14.25">
      <c r="A2" s="60"/>
      <c r="B2" s="60"/>
    </row>
    <row r="3" spans="1:3" ht="14.25" customHeight="1">
      <c r="A3" s="68" t="s">
        <v>1</v>
      </c>
      <c r="B3" s="64"/>
      <c r="C3" s="64"/>
    </row>
    <row r="4" spans="1:3" ht="14.25" customHeight="1">
      <c r="A4" s="64"/>
      <c r="B4" s="64"/>
      <c r="C4" s="64"/>
    </row>
    <row r="5" spans="1:5" ht="15.75" customHeight="1">
      <c r="A5" s="65" t="s">
        <v>91</v>
      </c>
      <c r="B5" s="65"/>
      <c r="C5" s="28">
        <f>IF(E9&gt;0,0,'梯段板'!E20)</f>
        <v>180</v>
      </c>
      <c r="D5" s="20" t="s">
        <v>96</v>
      </c>
      <c r="E5" s="32">
        <v>3.49</v>
      </c>
    </row>
    <row r="6" spans="1:5" ht="15.75" customHeight="1">
      <c r="A6" s="65" t="s">
        <v>92</v>
      </c>
      <c r="B6" s="65"/>
      <c r="C6" s="49">
        <f>IF(E9&gt;0,0,'梯段板'!C6)</f>
        <v>150</v>
      </c>
      <c r="D6" s="20" t="s">
        <v>97</v>
      </c>
      <c r="E6" s="50">
        <f>IF('平台板'!C9=0,'平台板'!E9,'平台板'!C9)</f>
        <v>2400</v>
      </c>
    </row>
    <row r="7" spans="1:5" ht="15.75" customHeight="1">
      <c r="A7" s="65" t="s">
        <v>13</v>
      </c>
      <c r="B7" s="65"/>
      <c r="C7" s="51">
        <f>'梯段板'!C15</f>
        <v>0.8814799700287821</v>
      </c>
      <c r="D7" s="20" t="s">
        <v>98</v>
      </c>
      <c r="E7" s="32">
        <v>8.76</v>
      </c>
    </row>
    <row r="8" spans="1:5" ht="15.75" customHeight="1">
      <c r="A8" s="65" t="s">
        <v>93</v>
      </c>
      <c r="B8" s="65"/>
      <c r="C8" s="52">
        <v>240</v>
      </c>
      <c r="D8" s="20" t="s">
        <v>99</v>
      </c>
      <c r="E8" s="52">
        <v>4280</v>
      </c>
    </row>
    <row r="9" spans="1:5" ht="15.75" customHeight="1">
      <c r="A9" s="65" t="s">
        <v>94</v>
      </c>
      <c r="B9" s="65"/>
      <c r="C9" s="52">
        <v>500</v>
      </c>
      <c r="D9" s="20" t="s">
        <v>100</v>
      </c>
      <c r="E9" s="32">
        <v>0</v>
      </c>
    </row>
    <row r="10" spans="1:5" ht="15.75" customHeight="1">
      <c r="A10" s="65" t="s">
        <v>47</v>
      </c>
      <c r="B10" s="65"/>
      <c r="C10" s="50" t="str">
        <f>'梯段板'!C8</f>
        <v>C30</v>
      </c>
      <c r="D10" s="20" t="s">
        <v>82</v>
      </c>
      <c r="E10" s="49">
        <f>'梯段板'!E5</f>
        <v>3.5</v>
      </c>
    </row>
    <row r="11" spans="1:5" ht="15.75" customHeight="1">
      <c r="A11" s="65" t="s">
        <v>85</v>
      </c>
      <c r="B11" s="65"/>
      <c r="C11" s="50">
        <f>'梯段板'!E7</f>
        <v>300</v>
      </c>
      <c r="D11" s="20" t="s">
        <v>101</v>
      </c>
      <c r="E11" s="31">
        <v>5740</v>
      </c>
    </row>
    <row r="12" spans="1:5" ht="15.75" customHeight="1">
      <c r="A12" s="65" t="s">
        <v>95</v>
      </c>
      <c r="B12" s="65"/>
      <c r="C12" s="52">
        <v>210</v>
      </c>
      <c r="D12" s="20" t="s">
        <v>102</v>
      </c>
      <c r="E12" s="31">
        <v>5500</v>
      </c>
    </row>
    <row r="13" spans="1:2" ht="15.75" customHeight="1">
      <c r="A13" s="70"/>
      <c r="B13" s="69"/>
    </row>
    <row r="14" spans="1:2" ht="15.75" customHeight="1">
      <c r="A14" s="72"/>
      <c r="B14" s="71"/>
    </row>
    <row r="15" spans="1:3" ht="14.25" customHeight="1">
      <c r="A15" s="68" t="s">
        <v>14</v>
      </c>
      <c r="B15" s="64"/>
      <c r="C15" s="64"/>
    </row>
    <row r="16" spans="1:3" ht="14.25" customHeight="1">
      <c r="A16" s="64"/>
      <c r="B16" s="64"/>
      <c r="C16" s="64"/>
    </row>
    <row r="17" spans="1:2" ht="15.75" customHeight="1">
      <c r="A17" s="63" t="s">
        <v>48</v>
      </c>
      <c r="B17" s="64"/>
    </row>
    <row r="18" spans="1:5" ht="15.75" customHeight="1">
      <c r="A18" s="88" t="s">
        <v>42</v>
      </c>
      <c r="B18" s="20" t="s">
        <v>66</v>
      </c>
      <c r="C18" s="20">
        <f>C8*C9*25/1000000</f>
        <v>3</v>
      </c>
      <c r="D18" s="20" t="s">
        <v>103</v>
      </c>
      <c r="E18" s="38">
        <f>IF(C10="C40",19.1,IF(C10="C35",16.7,IF(C10="C30",14.3,IF(C10="C25",11.9,IF(C10="C20",9.6,IF(C10="C15",7.2,0))))))</f>
        <v>14.3</v>
      </c>
    </row>
    <row r="19" spans="1:5" ht="15.75" customHeight="1">
      <c r="A19" s="88"/>
      <c r="B19" s="20" t="s">
        <v>43</v>
      </c>
      <c r="C19" s="26">
        <f>E5*E6/2000</f>
        <v>4.188</v>
      </c>
      <c r="D19" s="20" t="s">
        <v>116</v>
      </c>
      <c r="E19" s="26">
        <f>IF(C10="C80",0.94,IF(C10="C75",0.95,IF(C10="C70",0.96,IF(C10="C65",0.97,IF(C10="C60",0.98,IF(C55="C15",0.99,1))))))</f>
        <v>1</v>
      </c>
    </row>
    <row r="20" spans="1:5" ht="15.75" customHeight="1">
      <c r="A20" s="88"/>
      <c r="B20" s="20" t="s">
        <v>44</v>
      </c>
      <c r="C20" s="26">
        <f>E7*E8/2000</f>
        <v>18.746399999999998</v>
      </c>
      <c r="D20" s="20" t="s">
        <v>104</v>
      </c>
      <c r="E20" s="46">
        <f>C9-35</f>
        <v>465</v>
      </c>
    </row>
    <row r="21" spans="1:5" ht="15.75" customHeight="1">
      <c r="A21" s="88"/>
      <c r="B21" s="20" t="s">
        <v>45</v>
      </c>
      <c r="C21" s="26">
        <f>E9</f>
        <v>0</v>
      </c>
      <c r="D21" s="20" t="s">
        <v>82</v>
      </c>
      <c r="E21" s="49">
        <f>E10*(E6/2000+E8/2000)</f>
        <v>11.69</v>
      </c>
    </row>
    <row r="22" spans="1:5" ht="15.75" customHeight="1">
      <c r="A22" s="65" t="s">
        <v>72</v>
      </c>
      <c r="B22" s="65"/>
      <c r="C22" s="49">
        <f>SUM(C18:C21)</f>
        <v>25.934399999999997</v>
      </c>
      <c r="D22" s="20" t="s">
        <v>73</v>
      </c>
      <c r="E22" s="26">
        <f>1.2*C22+1.4*E21</f>
        <v>47.48728</v>
      </c>
    </row>
    <row r="23" spans="1:2" ht="15.75" customHeight="1">
      <c r="A23" s="70"/>
      <c r="B23" s="70"/>
    </row>
    <row r="24" spans="1:2" ht="15.75" customHeight="1">
      <c r="A24" s="63" t="s">
        <v>6</v>
      </c>
      <c r="B24" s="64"/>
    </row>
    <row r="25" spans="1:5" ht="15.75" customHeight="1">
      <c r="A25" s="65" t="s">
        <v>79</v>
      </c>
      <c r="B25" s="65"/>
      <c r="C25" s="26">
        <f>E22*POWER(E11/1000,2)/8</f>
        <v>195.573988316</v>
      </c>
      <c r="D25" s="20" t="s">
        <v>105</v>
      </c>
      <c r="E25" s="26">
        <f>E22*E12/(2*1000)</f>
        <v>130.59001999999998</v>
      </c>
    </row>
    <row r="26" spans="1:5" ht="15.75" customHeight="1">
      <c r="A26" s="65" t="s">
        <v>117</v>
      </c>
      <c r="B26" s="65"/>
      <c r="C26" s="27">
        <f>C25*10^6/(E19*E18*C8*E20^2)</f>
        <v>0.26354689712569</v>
      </c>
      <c r="D26" s="20" t="s">
        <v>52</v>
      </c>
      <c r="E26" s="31">
        <v>2</v>
      </c>
    </row>
    <row r="27" spans="1:5" ht="15.75" customHeight="1">
      <c r="A27" s="65" t="s">
        <v>19</v>
      </c>
      <c r="B27" s="65"/>
      <c r="C27" s="27">
        <f>(1+SQRT(1-2*C26))/2</f>
        <v>0.8438408809858929</v>
      </c>
      <c r="D27" s="20" t="s">
        <v>106</v>
      </c>
      <c r="E27" s="31">
        <v>6</v>
      </c>
    </row>
    <row r="28" spans="1:5" ht="15.75" customHeight="1">
      <c r="A28" s="65" t="s">
        <v>78</v>
      </c>
      <c r="B28" s="65"/>
      <c r="C28" s="36">
        <f>C25*10^6/(C27*C11*E20)</f>
        <v>1661.408099014888</v>
      </c>
      <c r="D28" s="20" t="s">
        <v>107</v>
      </c>
      <c r="E28" s="31">
        <v>150</v>
      </c>
    </row>
    <row r="29" spans="1:5" ht="15.75" customHeight="1">
      <c r="A29" s="65" t="s">
        <v>75</v>
      </c>
      <c r="B29" s="65"/>
      <c r="C29" s="31">
        <v>16</v>
      </c>
      <c r="D29" s="20" t="s">
        <v>108</v>
      </c>
      <c r="E29" s="23">
        <f>(0.07*E18*C8*E20+1.5*C12*E26*PI()*(E27/2)^2*E20/E28)/1000</f>
        <v>166.93137407214783</v>
      </c>
    </row>
    <row r="30" spans="1:5" ht="14.25">
      <c r="A30" s="65" t="s">
        <v>109</v>
      </c>
      <c r="B30" s="65"/>
      <c r="C30" s="31">
        <v>9</v>
      </c>
      <c r="D30" s="20" t="s">
        <v>22</v>
      </c>
      <c r="E30" s="25" t="str">
        <f>IF(E25&gt;E29,"不满足","满足")</f>
        <v>满足</v>
      </c>
    </row>
    <row r="31" spans="1:5" ht="15.75" customHeight="1">
      <c r="A31" s="65" t="s">
        <v>77</v>
      </c>
      <c r="B31" s="65"/>
      <c r="C31" s="35">
        <f>PI()*(C29/2)^2*C30</f>
        <v>1809.5573684677208</v>
      </c>
      <c r="D31" s="20" t="s">
        <v>51</v>
      </c>
      <c r="E31" s="25" t="str">
        <f>IF(C28&gt;C31,"不满足","满足")</f>
        <v>满足</v>
      </c>
    </row>
  </sheetData>
  <mergeCells count="26">
    <mergeCell ref="A31:B31"/>
    <mergeCell ref="A13:B13"/>
    <mergeCell ref="A14:B14"/>
    <mergeCell ref="A26:B26"/>
    <mergeCell ref="A27:B27"/>
    <mergeCell ref="A28:B28"/>
    <mergeCell ref="A22:B22"/>
    <mergeCell ref="A23:B23"/>
    <mergeCell ref="A25:B25"/>
    <mergeCell ref="A18:A21"/>
    <mergeCell ref="A29:B29"/>
    <mergeCell ref="A30:B30"/>
    <mergeCell ref="A11:B11"/>
    <mergeCell ref="A12:B12"/>
    <mergeCell ref="A17:B17"/>
    <mergeCell ref="A24:B24"/>
    <mergeCell ref="A1:B1"/>
    <mergeCell ref="A2:B2"/>
    <mergeCell ref="A3:C4"/>
    <mergeCell ref="A15:C16"/>
    <mergeCell ref="A5:B5"/>
    <mergeCell ref="A6:B6"/>
    <mergeCell ref="A7:B7"/>
    <mergeCell ref="A8:B8"/>
    <mergeCell ref="A9:B9"/>
    <mergeCell ref="A10:B10"/>
  </mergeCells>
  <conditionalFormatting sqref="C31">
    <cfRule type="cellIs" priority="1" dxfId="0" operator="lessThan" stopIfTrue="1">
      <formula>$C$28</formula>
    </cfRule>
  </conditionalFormatting>
  <dataValidations count="17">
    <dataValidation operator="greaterThan" allowBlank="1" showInputMessage="1" showErrorMessage="1" sqref="E20 C7"/>
    <dataValidation type="decimal" operator="greaterThan" allowBlank="1" showInputMessage="1" showErrorMessage="1" error="输入值过小，不满足！请重新输入。" sqref="C9">
      <formula1>C6+C5/C7</formula1>
    </dataValidation>
    <dataValidation type="decimal" operator="greaterThan" allowBlank="1" showInputMessage="1" showErrorMessage="1" error="输入值≯0，错误！请重新输入。" sqref="E10">
      <formula1>0</formula1>
    </dataValidation>
    <dataValidation type="list" showInputMessage="1" showErrorMessage="1" error="输入值超界[C15,C40]！请重新输入。" sqref="C10">
      <formula1>"C15,C20,C25,C30,C35,C40,C45,C50,C55,C60,C65,C70,C75,C80"</formula1>
    </dataValidation>
    <dataValidation type="whole" operator="greaterThan" allowBlank="1" showInputMessage="1" showErrorMessage="1" error="输入值≯0，错误！请重新输入。" sqref="C8 E11:E12">
      <formula1>0</formula1>
    </dataValidation>
    <dataValidation type="list" operator="greaterThanOrEqual" showInputMessage="1" showErrorMessage="1" error="输入值错误！请重新输入。" sqref="E26">
      <formula1>"2,3,4,5,6"</formula1>
    </dataValidation>
    <dataValidation type="decimal" operator="greaterThanOrEqual" allowBlank="1" showInputMessage="1" showErrorMessage="1" prompt="请手工输入！" error="输入值＜0，错误！请重新输入。" sqref="E9">
      <formula1>0</formula1>
    </dataValidation>
    <dataValidation type="list" operator="greaterThanOrEqual" showInputMessage="1" showErrorMessage="1" error="输入值错误！请重新输入。" sqref="C29">
      <formula1>"10,12,14,16,18,20,22,25"</formula1>
    </dataValidation>
    <dataValidation operator="greaterThanOrEqual" allowBlank="1" showInputMessage="1" showErrorMessage="1" sqref="C31 C5"/>
    <dataValidation type="whole" operator="greaterThanOrEqual" showInputMessage="1" showErrorMessage="1" error="输入值错误！请重新输入。" sqref="C30">
      <formula1>0</formula1>
    </dataValidation>
    <dataValidation type="list" showInputMessage="1" showErrorMessage="1" error="输入值错误！请重新输入。" sqref="E27">
      <formula1>"6,8,10,12"</formula1>
    </dataValidation>
    <dataValidation type="list" operator="greaterThan" showInputMessage="1" showErrorMessage="1" error="输入值错误！请重新输入。" sqref="C11">
      <formula1>"210,310,360"</formula1>
    </dataValidation>
    <dataValidation type="whole" operator="greaterThanOrEqual" allowBlank="1" showInputMessage="1" showErrorMessage="1" error="输入值＜0，错误！请重新输入。" sqref="E8 E6">
      <formula1>0</formula1>
    </dataValidation>
    <dataValidation type="decimal" operator="greaterThanOrEqual" allowBlank="1" showInputMessage="1" showErrorMessage="1" error="输入值＜0，错误！请重新输入。" sqref="E7 E5">
      <formula1>0</formula1>
    </dataValidation>
    <dataValidation type="list" operator="greaterThan" showInputMessage="1" showErrorMessage="1" error="输入值错误！请重新输入。" sqref="C12">
      <formula1>"210"</formula1>
    </dataValidation>
    <dataValidation type="list" showInputMessage="1" showErrorMessage="1" error="输入值超界[100,300]！请重新输入。" sqref="E28">
      <formula1>"100,110,120,125,130,140,150,160,170,175,180,190,200,220,240,250,260,280,300"</formula1>
    </dataValidation>
    <dataValidation operator="greaterThanOrEqual" showInputMessage="1" showErrorMessage="1" sqref="C6"/>
  </dataValidations>
  <printOptions horizontalCentered="1"/>
  <pageMargins left="0.5511811023622047" right="0.551181102362204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ZWX</dc:creator>
  <cp:keywords/>
  <dc:description/>
  <cp:lastModifiedBy>ZWX</cp:lastModifiedBy>
  <cp:lastPrinted>2002-04-15T07:28:54Z</cp:lastPrinted>
  <dcterms:created xsi:type="dcterms:W3CDTF">2001-08-27T00:14:57Z</dcterms:created>
  <dcterms:modified xsi:type="dcterms:W3CDTF">2002-07-04T07:18:48Z</dcterms:modified>
  <cp:category/>
  <cp:version/>
  <cp:contentType/>
  <cp:contentStatus/>
</cp:coreProperties>
</file>