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9255" activeTab="0"/>
  </bookViews>
  <sheets>
    <sheet name="双柱锥形基础计算" sheetId="1" r:id="rId1"/>
  </sheets>
  <definedNames/>
  <calcPr fullCalcOnLoad="1"/>
</workbook>
</file>

<file path=xl/sharedStrings.xml><?xml version="1.0" encoding="utf-8"?>
<sst xmlns="http://schemas.openxmlformats.org/spreadsheetml/2006/main" count="233" uniqueCount="160">
  <si>
    <r>
      <t>承载力修正系数η</t>
    </r>
    <r>
      <rPr>
        <sz val="12"/>
        <rFont val="Times New Roman"/>
        <family val="1"/>
      </rPr>
      <t>b</t>
    </r>
  </si>
  <si>
    <r>
      <t>承载力修正系数η</t>
    </r>
    <r>
      <rPr>
        <sz val="12"/>
        <rFont val="Times New Roman"/>
        <family val="1"/>
      </rPr>
      <t>d</t>
    </r>
  </si>
  <si>
    <t>kpa</t>
  </si>
  <si>
    <t>混凝土强度等级</t>
  </si>
  <si>
    <r>
      <t>钢筋强度</t>
    </r>
    <r>
      <rPr>
        <sz val="12"/>
        <rFont val="Times New Roman"/>
        <family val="1"/>
      </rPr>
      <t>fy</t>
    </r>
  </si>
  <si>
    <t>mm</t>
  </si>
  <si>
    <r>
      <t>计算基础长度</t>
    </r>
    <r>
      <rPr>
        <sz val="12"/>
        <rFont val="Times New Roman"/>
        <family val="1"/>
      </rPr>
      <t>b=</t>
    </r>
  </si>
  <si>
    <r>
      <t>基础根部高度</t>
    </r>
    <r>
      <rPr>
        <sz val="12"/>
        <rFont val="Times New Roman"/>
        <family val="1"/>
      </rPr>
      <t>H</t>
    </r>
  </si>
  <si>
    <t>m</t>
  </si>
  <si>
    <t>X 轴方向截面面积 AcL</t>
  </si>
  <si>
    <r>
      <t>Y</t>
    </r>
    <r>
      <rPr>
        <sz val="12"/>
        <rFont val="宋体"/>
        <family val="0"/>
      </rPr>
      <t xml:space="preserve"> 轴方向截面面积 Acb</t>
    </r>
  </si>
  <si>
    <r>
      <t>X</t>
    </r>
    <r>
      <rPr>
        <sz val="12"/>
        <rFont val="宋体"/>
        <family val="0"/>
      </rPr>
      <t>轴基础顶面坡度</t>
    </r>
  </si>
  <si>
    <t>°</t>
  </si>
  <si>
    <r>
      <t>Y</t>
    </r>
    <r>
      <rPr>
        <sz val="12"/>
        <rFont val="宋体"/>
        <family val="0"/>
      </rPr>
      <t>轴基础顶面坡度</t>
    </r>
  </si>
  <si>
    <r>
      <t>基础底面积</t>
    </r>
    <r>
      <rPr>
        <sz val="12"/>
        <rFont val="Times New Roman"/>
        <family val="1"/>
      </rPr>
      <t>A</t>
    </r>
  </si>
  <si>
    <r>
      <t>轴心荷载作用下</t>
    </r>
    <r>
      <rPr>
        <sz val="12"/>
        <rFont val="Times New Roman"/>
        <family val="1"/>
      </rPr>
      <t xml:space="preserve">pk </t>
    </r>
    <r>
      <rPr>
        <sz val="12"/>
        <rFont val="宋体"/>
        <family val="0"/>
      </rPr>
      <t>＝</t>
    </r>
    <r>
      <rPr>
        <sz val="12"/>
        <rFont val="Times New Roman"/>
        <family val="1"/>
      </rPr>
      <t xml:space="preserve"> (Fk + Gk) / A</t>
    </r>
  </si>
  <si>
    <t>fa=</t>
  </si>
  <si>
    <t>kpa</t>
  </si>
  <si>
    <t>1.2*fa=</t>
  </si>
  <si>
    <t>b/6=</t>
  </si>
  <si>
    <t>L/6=</t>
  </si>
  <si>
    <t>mm</t>
  </si>
  <si>
    <t>kN·M</t>
  </si>
  <si>
    <t>kN</t>
  </si>
  <si>
    <t>mm</t>
  </si>
  <si>
    <t>ab ＝ Min{bc + 2 * Ho，l} ＝</t>
  </si>
  <si>
    <t>amx ＝ (bc + ab) / 2 ＝</t>
  </si>
  <si>
    <t>0.7 * βhp * ft * amx * Ho ＝</t>
  </si>
  <si>
    <t>ab ＝ Min{hc + 2 * Ho，b}</t>
  </si>
  <si>
    <t>amy ＝ (hc + ab) / 2</t>
  </si>
  <si>
    <t>0.7 * βhp * ft * amY * Ho ＝</t>
  </si>
  <si>
    <r>
      <t>基础长宽比</t>
    </r>
    <r>
      <rPr>
        <sz val="12"/>
        <rFont val="Times New Roman"/>
        <family val="1"/>
      </rPr>
      <t>(L/B)</t>
    </r>
  </si>
  <si>
    <r>
      <t>X向</t>
    </r>
    <r>
      <rPr>
        <sz val="12"/>
        <rFont val="Times New Roman"/>
        <family val="1"/>
      </rPr>
      <t>Wx</t>
    </r>
    <r>
      <rPr>
        <sz val="12"/>
        <rFont val="宋体"/>
        <family val="0"/>
      </rPr>
      <t>＝</t>
    </r>
    <r>
      <rPr>
        <sz val="12"/>
        <rFont val="Times New Roman"/>
        <family val="1"/>
      </rPr>
      <t xml:space="preserve">l * b * b / 6 </t>
    </r>
  </si>
  <si>
    <r>
      <t>覆土厚度</t>
    </r>
    <r>
      <rPr>
        <sz val="12"/>
        <rFont val="Times New Roman"/>
        <family val="1"/>
      </rPr>
      <t xml:space="preserve"> ds(</t>
    </r>
    <r>
      <rPr>
        <sz val="12"/>
        <rFont val="宋体"/>
        <family val="0"/>
      </rPr>
      <t>用于计算基础自重</t>
    </r>
    <r>
      <rPr>
        <sz val="12"/>
        <rFont val="Times New Roman"/>
        <family val="1"/>
      </rPr>
      <t>)</t>
    </r>
  </si>
  <si>
    <t>pX＝pminX+(pmaxX-pminX)*(b+hc)/b/2=</t>
  </si>
  <si>
    <t>MⅡx=(L-bc)^2*(2*b+hc)*(pmaxX+pminX-2*G/A)/48=</t>
  </si>
  <si>
    <r>
      <t>竖向力</t>
    </r>
    <r>
      <rPr>
        <sz val="12"/>
        <rFont val="Times New Roman"/>
        <family val="1"/>
      </rPr>
      <t>F=</t>
    </r>
    <r>
      <rPr>
        <sz val="12"/>
        <rFont val="宋体"/>
        <family val="0"/>
      </rPr>
      <t>γ</t>
    </r>
    <r>
      <rPr>
        <sz val="12"/>
        <rFont val="Times New Roman"/>
        <family val="1"/>
      </rPr>
      <t>z*Fk=</t>
    </r>
  </si>
  <si>
    <t>Y 方向（l 方向）柱边（绕 X 轴）抗弯计算</t>
  </si>
  <si>
    <t>pY＝pminY+(pmaxY-pminY)*(L+bc)/L/2=</t>
  </si>
  <si>
    <t>MⅡy=(L-bc)^2*(2*b+hc)*(pmaxY+pminY-2*G/A)/48=</t>
  </si>
  <si>
    <r>
      <t>取基础宽度</t>
    </r>
    <r>
      <rPr>
        <sz val="12"/>
        <rFont val="Times New Roman"/>
        <family val="1"/>
      </rPr>
      <t>L=</t>
    </r>
  </si>
  <si>
    <r>
      <t>计算基础宽度</t>
    </r>
    <r>
      <rPr>
        <sz val="12"/>
        <rFont val="Times New Roman"/>
        <family val="1"/>
      </rPr>
      <t>L=</t>
    </r>
  </si>
  <si>
    <t>MIy=(b-hc)^2*[(2*L+bc)*(pmaxY+pY-2*G/A)+(pmaxY-pY)*L]/48=</t>
  </si>
  <si>
    <t>X方向冲切验算</t>
  </si>
  <si>
    <t>Y方向冲切验算</t>
  </si>
  <si>
    <r>
      <t>X 方向（</t>
    </r>
    <r>
      <rPr>
        <b/>
        <sz val="12"/>
        <rFont val="Times New Roman"/>
        <family val="1"/>
      </rPr>
      <t xml:space="preserve">b </t>
    </r>
    <r>
      <rPr>
        <b/>
        <sz val="12"/>
        <rFont val="宋体"/>
        <family val="0"/>
      </rPr>
      <t>方向）柱边（绕</t>
    </r>
    <r>
      <rPr>
        <b/>
        <sz val="12"/>
        <rFont val="Times New Roman"/>
        <family val="1"/>
      </rPr>
      <t xml:space="preserve"> Y </t>
    </r>
    <r>
      <rPr>
        <b/>
        <sz val="12"/>
        <rFont val="宋体"/>
        <family val="0"/>
      </rPr>
      <t>轴）抗弯计算</t>
    </r>
  </si>
  <si>
    <t>mm</t>
  </si>
  <si>
    <t>mm</t>
  </si>
  <si>
    <t>mm</t>
  </si>
  <si>
    <t>kpa</t>
  </si>
  <si>
    <r>
      <t>基础埋深</t>
    </r>
    <r>
      <rPr>
        <sz val="12"/>
        <rFont val="Times New Roman"/>
        <family val="1"/>
      </rPr>
      <t>d(</t>
    </r>
    <r>
      <rPr>
        <sz val="12"/>
        <rFont val="宋体"/>
        <family val="0"/>
      </rPr>
      <t>用于承载力修正</t>
    </r>
    <r>
      <rPr>
        <sz val="12"/>
        <rFont val="Times New Roman"/>
        <family val="1"/>
      </rPr>
      <t>)</t>
    </r>
  </si>
  <si>
    <r>
      <t>Y</t>
    </r>
    <r>
      <rPr>
        <sz val="12"/>
        <rFont val="宋体"/>
        <family val="0"/>
      </rPr>
      <t>向</t>
    </r>
    <r>
      <rPr>
        <sz val="12"/>
        <rFont val="Times New Roman"/>
        <family val="1"/>
      </rPr>
      <t xml:space="preserve">Wy </t>
    </r>
    <r>
      <rPr>
        <sz val="12"/>
        <rFont val="宋体"/>
        <family val="0"/>
      </rPr>
      <t>＝</t>
    </r>
    <r>
      <rPr>
        <sz val="12"/>
        <rFont val="Times New Roman"/>
        <family val="1"/>
      </rPr>
      <t xml:space="preserve"> b * l * l / 6</t>
    </r>
  </si>
  <si>
    <r>
      <t>X</t>
    </r>
    <r>
      <rPr>
        <sz val="12"/>
        <rFont val="宋体"/>
        <family val="0"/>
      </rPr>
      <t>向偏心矩ex＝Mky/(Fk+Gk)=</t>
    </r>
  </si>
  <si>
    <r>
      <t>Y</t>
    </r>
    <r>
      <rPr>
        <sz val="12"/>
        <rFont val="宋体"/>
        <family val="0"/>
      </rPr>
      <t>向偏心矩ey＝Mkx/(Fk+Gk)=</t>
    </r>
  </si>
  <si>
    <t>hc+2*Ho=</t>
  </si>
  <si>
    <t>pmaxX＝γz*PkmaxX=</t>
  </si>
  <si>
    <t>pminX＝γz*PkminX=</t>
  </si>
  <si>
    <t>pminY＝γz*PkminY=</t>
  </si>
  <si>
    <t>pmaxY＝γz*PkmaxY=</t>
  </si>
  <si>
    <r>
      <t>M</t>
    </r>
    <r>
      <rPr>
        <sz val="12"/>
        <rFont val="宋体"/>
        <family val="0"/>
      </rPr>
      <t>Ⅰ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＝</t>
    </r>
    <r>
      <rPr>
        <sz val="12"/>
        <rFont val="Times New Roman"/>
        <family val="1"/>
      </rPr>
      <t xml:space="preserve"> Max{M</t>
    </r>
    <r>
      <rPr>
        <sz val="12"/>
        <rFont val="宋体"/>
        <family val="0"/>
      </rPr>
      <t>Ⅰ</t>
    </r>
    <r>
      <rPr>
        <sz val="12"/>
        <rFont val="Times New Roman"/>
        <family val="1"/>
      </rPr>
      <t>x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Ⅱ</t>
    </r>
    <r>
      <rPr>
        <sz val="12"/>
        <rFont val="Times New Roman"/>
        <family val="1"/>
      </rPr>
      <t xml:space="preserve">y} </t>
    </r>
    <r>
      <rPr>
        <sz val="12"/>
        <rFont val="宋体"/>
        <family val="0"/>
      </rPr>
      <t>＝</t>
    </r>
  </si>
  <si>
    <r>
      <t>M</t>
    </r>
    <r>
      <rPr>
        <sz val="12"/>
        <rFont val="宋体"/>
        <family val="0"/>
      </rPr>
      <t>Ⅱ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＝</t>
    </r>
    <r>
      <rPr>
        <sz val="12"/>
        <rFont val="Times New Roman"/>
        <family val="1"/>
      </rPr>
      <t xml:space="preserve"> Max{M</t>
    </r>
    <r>
      <rPr>
        <sz val="12"/>
        <rFont val="宋体"/>
        <family val="0"/>
      </rPr>
      <t>Ⅱ</t>
    </r>
    <r>
      <rPr>
        <sz val="12"/>
        <rFont val="Times New Roman"/>
        <family val="1"/>
      </rPr>
      <t>x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Ⅰ</t>
    </r>
    <r>
      <rPr>
        <sz val="12"/>
        <rFont val="Times New Roman"/>
        <family val="1"/>
      </rPr>
      <t xml:space="preserve">y} </t>
    </r>
    <r>
      <rPr>
        <sz val="12"/>
        <rFont val="宋体"/>
        <family val="0"/>
      </rPr>
      <t>＝</t>
    </r>
  </si>
  <si>
    <t>柱下局部受压承载力计算</t>
  </si>
  <si>
    <t>混凝土局部受压面积 Al ＝ bc * hc ＝</t>
  </si>
  <si>
    <t>Ab ＝ (bx + 2 * c) * (by + 2 * c)=</t>
  </si>
  <si>
    <t>βl ＝ Sqr(Ab / Al)=</t>
  </si>
  <si>
    <t>kN</t>
  </si>
  <si>
    <r>
      <t>1.35</t>
    </r>
    <r>
      <rPr>
        <sz val="12"/>
        <rFont val="宋体"/>
        <family val="0"/>
      </rPr>
      <t xml:space="preserve"> * βc * βl * fc * Al ＝</t>
    </r>
  </si>
  <si>
    <t>基础及的土重设计值G＝γz*Gk＝</t>
  </si>
  <si>
    <t>X 方向（b 方向）剪切验算</t>
  </si>
  <si>
    <t>Vx＝pj*Ax＝pj*(b-hc)*L/2＝</t>
  </si>
  <si>
    <t>0.7*βh*ft*Lo*Ho＝</t>
  </si>
  <si>
    <t>Y 方向（l 方向）剪切验算</t>
  </si>
  <si>
    <r>
      <t>Vy</t>
    </r>
    <r>
      <rPr>
        <sz val="12"/>
        <rFont val="宋体"/>
        <family val="0"/>
      </rPr>
      <t>＝</t>
    </r>
    <r>
      <rPr>
        <sz val="12"/>
        <rFont val="Times New Roman"/>
        <family val="1"/>
      </rPr>
      <t>pj*Ay</t>
    </r>
    <r>
      <rPr>
        <sz val="12"/>
        <rFont val="宋体"/>
        <family val="0"/>
      </rPr>
      <t>＝</t>
    </r>
    <r>
      <rPr>
        <sz val="12"/>
        <rFont val="Times New Roman"/>
        <family val="1"/>
      </rPr>
      <t>pj*(l-bc)*b/2=</t>
    </r>
  </si>
  <si>
    <t>F =</t>
  </si>
  <si>
    <r>
      <t>b</t>
    </r>
    <r>
      <rPr>
        <sz val="12"/>
        <rFont val="宋体"/>
        <family val="0"/>
      </rPr>
      <t>c+2*Ho=</t>
    </r>
  </si>
  <si>
    <t>L=</t>
  </si>
  <si>
    <r>
      <t>L</t>
    </r>
    <r>
      <rPr>
        <sz val="12"/>
        <rFont val="宋体"/>
        <family val="0"/>
      </rPr>
      <t xml:space="preserve"> - bc=</t>
    </r>
  </si>
  <si>
    <t>Alx＝0.5*(L+bc+2*Ho)*(L-bc-2*Ho)/2+L*(b-hc-L+bc)/2=</t>
  </si>
  <si>
    <t>Aly＝0.5*(b+hc+2*Ho)*(b-hc-2*Ho)/2+b*(L-bc-b+hc)/2=</t>
  </si>
  <si>
    <t>b=</t>
  </si>
  <si>
    <r>
      <t>因</t>
    </r>
    <r>
      <rPr>
        <sz val="12"/>
        <rFont val="Times New Roman"/>
        <family val="1"/>
      </rPr>
      <t>b</t>
    </r>
    <r>
      <rPr>
        <sz val="12"/>
        <rFont val="宋体"/>
        <family val="0"/>
      </rPr>
      <t xml:space="preserve"> - hc=</t>
    </r>
  </si>
  <si>
    <t>Alx＝L*[0.5*(b-hc)-h0]=</t>
  </si>
  <si>
    <t>Aly＝b*[0.5*(L-bc)-h0]=</t>
  </si>
  <si>
    <t>Alx＝0.5*(b-hc+2*bc+2*Ho)*[(b-hc)/2-Ho]=</t>
  </si>
  <si>
    <t>Aly＝0.5*(l-bc+2*hc+2*Ho)*[(l-bc)/2-Ho]=</t>
  </si>
  <si>
    <t>0.7*βh*ft*bo*Ho＝</t>
  </si>
  <si>
    <t>计算宽度Lo＝{1.0-0.5*[1.0-(bc+2*50)/L]*(Ho-h1)/Ho}*L＝</t>
  </si>
  <si>
    <t>计算宽度bo＝{1.0-0.5*[1.0-(hc+2*50)/b]*(Ho-h1)/Ho}*b＝</t>
  </si>
  <si>
    <r>
      <t>地基承载力特征值</t>
    </r>
    <r>
      <rPr>
        <sz val="12"/>
        <rFont val="Times New Roman"/>
        <family val="1"/>
      </rPr>
      <t>fak</t>
    </r>
  </si>
  <si>
    <t>Y方向冲切验算</t>
  </si>
  <si>
    <t>柱下局部受压</t>
  </si>
  <si>
    <t>注意啦:</t>
  </si>
  <si>
    <r>
      <t>基础端部高度</t>
    </r>
    <r>
      <rPr>
        <sz val="12"/>
        <rFont val="Times New Roman"/>
        <family val="1"/>
      </rPr>
      <t>h1</t>
    </r>
  </si>
  <si>
    <t>X向pkmaxX</t>
  </si>
  <si>
    <t>Y向pkmaxY</t>
  </si>
  <si>
    <t>X向pkminX</t>
  </si>
  <si>
    <t>Y向pkminY</t>
  </si>
  <si>
    <r>
      <t>轴心荷载</t>
    </r>
    <r>
      <rPr>
        <sz val="12"/>
        <rFont val="Times New Roman"/>
        <family val="1"/>
      </rPr>
      <t xml:space="preserve">pk </t>
    </r>
  </si>
  <si>
    <r>
      <t>永久荷载控制的荷载组合分项系数γ</t>
    </r>
    <r>
      <rPr>
        <sz val="12"/>
        <rFont val="Times New Roman"/>
        <family val="1"/>
      </rPr>
      <t>z</t>
    </r>
  </si>
  <si>
    <t>fc=</t>
  </si>
  <si>
    <t>ft=</t>
  </si>
  <si>
    <r>
      <t>保护层厚度</t>
    </r>
    <r>
      <rPr>
        <sz val="12"/>
        <rFont val="Times New Roman"/>
        <family val="1"/>
      </rPr>
      <t>as</t>
    </r>
  </si>
  <si>
    <t>AsI=</t>
  </si>
  <si>
    <r>
      <t>As</t>
    </r>
    <r>
      <rPr>
        <sz val="12"/>
        <rFont val="宋体"/>
        <family val="0"/>
      </rPr>
      <t>Ⅱ</t>
    </r>
    <r>
      <rPr>
        <sz val="12"/>
        <rFont val="Times New Roman"/>
        <family val="1"/>
      </rPr>
      <t>=</t>
    </r>
  </si>
  <si>
    <t>N/mm^2</t>
  </si>
  <si>
    <t>kN</t>
  </si>
  <si>
    <t>mm^2</t>
  </si>
  <si>
    <t>M^2</t>
  </si>
  <si>
    <t>M^3</t>
  </si>
  <si>
    <t>kN/M^3</t>
  </si>
  <si>
    <r>
      <t>取基础长度</t>
    </r>
    <r>
      <rPr>
        <sz val="12"/>
        <rFont val="Times New Roman"/>
        <family val="1"/>
      </rPr>
      <t>b=</t>
    </r>
  </si>
  <si>
    <t>pjmaxX＝pmaxX-G/A=</t>
  </si>
  <si>
    <t>pjmaxY＝pmaxY-G/A=</t>
  </si>
  <si>
    <t>Flx＝pjmaxX*Alx＝</t>
  </si>
  <si>
    <t>Fly＝pjmaxY*Aly＝</t>
  </si>
  <si>
    <t>基础及土自重标准值Gk＝γg*A*ds＝</t>
  </si>
  <si>
    <r>
      <t>(</t>
    </r>
    <r>
      <rPr>
        <sz val="12"/>
        <rFont val="宋体"/>
        <family val="0"/>
      </rPr>
      <t>注：</t>
    </r>
    <r>
      <rPr>
        <sz val="12"/>
        <rFont val="Times New Roman"/>
        <family val="1"/>
      </rPr>
      <t>γg</t>
    </r>
    <r>
      <rPr>
        <sz val="12"/>
        <rFont val="宋体"/>
        <family val="0"/>
      </rPr>
      <t>取</t>
    </r>
    <r>
      <rPr>
        <sz val="12"/>
        <rFont val="Times New Roman"/>
        <family val="1"/>
      </rPr>
      <t>20.0kN/M^3)</t>
    </r>
  </si>
  <si>
    <r>
      <t>基础</t>
    </r>
    <r>
      <rPr>
        <sz val="12"/>
        <rFont val="Times New Roman"/>
        <family val="1"/>
      </rPr>
      <t>J-1(</t>
    </r>
    <r>
      <rPr>
        <sz val="12"/>
        <rFont val="宋体"/>
        <family val="0"/>
      </rPr>
      <t>按《地基基础设计规范</t>
    </r>
    <r>
      <rPr>
        <sz val="12"/>
        <rFont val="Times New Roman"/>
        <family val="1"/>
      </rPr>
      <t>(GB5000-21)</t>
    </r>
    <r>
      <rPr>
        <sz val="12"/>
        <rFont val="宋体"/>
        <family val="0"/>
      </rPr>
      <t>》进行设计</t>
    </r>
    <r>
      <rPr>
        <sz val="12"/>
        <rFont val="Times New Roman"/>
        <family val="1"/>
      </rPr>
      <t>)</t>
    </r>
  </si>
  <si>
    <r>
      <t>m</t>
    </r>
    <r>
      <rPr>
        <sz val="12"/>
        <rFont val="宋体"/>
        <family val="0"/>
      </rPr>
      <t>m^2</t>
    </r>
  </si>
  <si>
    <t>kpa</t>
  </si>
  <si>
    <t>MIx=(b-hc)^2*[(2*L+bc)*(pmaxX+pX-2*G/A)+(pmaxX-pX)*L]/48=</t>
  </si>
  <si>
    <r>
      <t>柱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竖向力</t>
    </r>
    <r>
      <rPr>
        <sz val="12"/>
        <rFont val="Times New Roman"/>
        <family val="1"/>
      </rPr>
      <t>Fk1</t>
    </r>
  </si>
  <si>
    <r>
      <t>柱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基础顶面弯矩</t>
    </r>
    <r>
      <rPr>
        <sz val="12"/>
        <rFont val="Times New Roman"/>
        <family val="1"/>
      </rPr>
      <t>Mkx1'</t>
    </r>
  </si>
  <si>
    <r>
      <t>柱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基础顶面弯矩</t>
    </r>
    <r>
      <rPr>
        <sz val="12"/>
        <rFont val="Times New Roman"/>
        <family val="1"/>
      </rPr>
      <t>Mky1'</t>
    </r>
  </si>
  <si>
    <r>
      <t>柱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基础顶面剪力</t>
    </r>
    <r>
      <rPr>
        <sz val="12"/>
        <rFont val="Times New Roman"/>
        <family val="1"/>
      </rPr>
      <t>Vkx1</t>
    </r>
  </si>
  <si>
    <r>
      <t>柱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基础顶面剪力</t>
    </r>
    <r>
      <rPr>
        <sz val="12"/>
        <rFont val="Times New Roman"/>
        <family val="1"/>
      </rPr>
      <t>Vky1</t>
    </r>
  </si>
  <si>
    <r>
      <t>柱</t>
    </r>
    <r>
      <rPr>
        <b/>
        <sz val="12"/>
        <rFont val="Times New Roman"/>
        <family val="1"/>
      </rPr>
      <t>2</t>
    </r>
    <r>
      <rPr>
        <sz val="12"/>
        <rFont val="Times New Roman"/>
        <family val="1"/>
      </rPr>
      <t>Fk2</t>
    </r>
  </si>
  <si>
    <r>
      <t>柱</t>
    </r>
    <r>
      <rPr>
        <b/>
        <sz val="12"/>
        <rFont val="Times New Roman"/>
        <family val="1"/>
      </rPr>
      <t>2</t>
    </r>
    <r>
      <rPr>
        <sz val="12"/>
        <rFont val="Times New Roman"/>
        <family val="1"/>
      </rPr>
      <t>Mkx2'</t>
    </r>
  </si>
  <si>
    <r>
      <t>柱</t>
    </r>
    <r>
      <rPr>
        <b/>
        <sz val="12"/>
        <rFont val="Times New Roman"/>
        <family val="1"/>
      </rPr>
      <t>2</t>
    </r>
    <r>
      <rPr>
        <sz val="12"/>
        <rFont val="Times New Roman"/>
        <family val="1"/>
      </rPr>
      <t>Mky2'</t>
    </r>
  </si>
  <si>
    <r>
      <t>柱</t>
    </r>
    <r>
      <rPr>
        <b/>
        <sz val="12"/>
        <rFont val="Times New Roman"/>
        <family val="1"/>
      </rPr>
      <t>2</t>
    </r>
    <r>
      <rPr>
        <sz val="12"/>
        <rFont val="Times New Roman"/>
        <family val="1"/>
      </rPr>
      <t>Vkx2</t>
    </r>
  </si>
  <si>
    <r>
      <t>柱</t>
    </r>
    <r>
      <rPr>
        <b/>
        <sz val="12"/>
        <rFont val="Times New Roman"/>
        <family val="1"/>
      </rPr>
      <t>2</t>
    </r>
    <r>
      <rPr>
        <sz val="12"/>
        <rFont val="Times New Roman"/>
        <family val="1"/>
      </rPr>
      <t>Vky2</t>
    </r>
  </si>
  <si>
    <t>Fk=</t>
  </si>
  <si>
    <r>
      <t>柱宽</t>
    </r>
    <r>
      <rPr>
        <sz val="12"/>
        <rFont val="Times New Roman"/>
        <family val="1"/>
      </rPr>
      <t>bc'</t>
    </r>
  </si>
  <si>
    <r>
      <t>柱高</t>
    </r>
    <r>
      <rPr>
        <sz val="12"/>
        <rFont val="Times New Roman"/>
        <family val="1"/>
      </rPr>
      <t>hc'</t>
    </r>
  </si>
  <si>
    <t>基底以下土的重度γ</t>
  </si>
  <si>
    <r>
      <t>基底以上土的加权平均重度γ</t>
    </r>
    <r>
      <rPr>
        <sz val="12"/>
        <rFont val="Times New Roman"/>
        <family val="1"/>
      </rPr>
      <t>m</t>
    </r>
  </si>
  <si>
    <t>h0=</t>
  </si>
  <si>
    <t>mm^2/M</t>
  </si>
  <si>
    <r>
      <t>fa</t>
    </r>
    <r>
      <rPr>
        <sz val="12"/>
        <rFont val="宋体"/>
        <family val="0"/>
      </rPr>
      <t>＝fak+ηb*γ*(b-3)+ηd*γm*(d-0.5)=</t>
    </r>
  </si>
  <si>
    <t>X方向剪切验算</t>
  </si>
  <si>
    <t>Y方向剪切验算</t>
  </si>
  <si>
    <t>轴心受压基底面积=(Fk+Gk)/(fa-γg*ds)</t>
  </si>
  <si>
    <t>X向双柱形心距离cx</t>
  </si>
  <si>
    <t>Y向双柱形心距离cy</t>
  </si>
  <si>
    <r>
      <t>X</t>
    </r>
    <r>
      <rPr>
        <sz val="12"/>
        <rFont val="宋体"/>
        <family val="0"/>
      </rPr>
      <t>向</t>
    </r>
    <r>
      <rPr>
        <sz val="12"/>
        <rFont val="Times New Roman"/>
        <family val="1"/>
      </rPr>
      <t>pkmaxX</t>
    </r>
    <r>
      <rPr>
        <sz val="12"/>
        <rFont val="宋体"/>
        <family val="0"/>
      </rPr>
      <t>＝</t>
    </r>
    <r>
      <rPr>
        <sz val="12"/>
        <rFont val="Times New Roman"/>
        <family val="1"/>
      </rPr>
      <t>(Fk+Gk)/A+|Mky|/Wx=</t>
    </r>
  </si>
  <si>
    <r>
      <t>X</t>
    </r>
    <r>
      <rPr>
        <sz val="12"/>
        <rFont val="宋体"/>
        <family val="0"/>
      </rPr>
      <t>向</t>
    </r>
    <r>
      <rPr>
        <sz val="12"/>
        <rFont val="Times New Roman"/>
        <family val="1"/>
      </rPr>
      <t>pkminX</t>
    </r>
    <r>
      <rPr>
        <sz val="12"/>
        <rFont val="宋体"/>
        <family val="0"/>
      </rPr>
      <t>＝</t>
    </r>
    <r>
      <rPr>
        <sz val="12"/>
        <rFont val="Times New Roman"/>
        <family val="1"/>
      </rPr>
      <t>(Fk+Gk)/A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|Mky|/Wx=</t>
    </r>
  </si>
  <si>
    <r>
      <t>Y</t>
    </r>
    <r>
      <rPr>
        <sz val="12"/>
        <rFont val="宋体"/>
        <family val="0"/>
      </rPr>
      <t>向</t>
    </r>
    <r>
      <rPr>
        <sz val="12"/>
        <rFont val="Times New Roman"/>
        <family val="1"/>
      </rPr>
      <t>pkmaxY</t>
    </r>
    <r>
      <rPr>
        <sz val="12"/>
        <rFont val="宋体"/>
        <family val="0"/>
      </rPr>
      <t>＝</t>
    </r>
    <r>
      <rPr>
        <sz val="12"/>
        <rFont val="Times New Roman"/>
        <family val="1"/>
      </rPr>
      <t>(Fk+Gk)/A+|Mkx|/Wy=</t>
    </r>
  </si>
  <si>
    <r>
      <t>Y</t>
    </r>
    <r>
      <rPr>
        <sz val="12"/>
        <rFont val="宋体"/>
        <family val="0"/>
      </rPr>
      <t>向</t>
    </r>
    <r>
      <rPr>
        <sz val="12"/>
        <rFont val="Times New Roman"/>
        <family val="1"/>
      </rPr>
      <t>pkminY</t>
    </r>
    <r>
      <rPr>
        <sz val="12"/>
        <rFont val="宋体"/>
        <family val="0"/>
      </rPr>
      <t>＝</t>
    </r>
    <r>
      <rPr>
        <sz val="12"/>
        <rFont val="Times New Roman"/>
        <family val="1"/>
      </rPr>
      <t>(Fk+Gk)/A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|Mkx|/Wy=</t>
    </r>
  </si>
  <si>
    <r>
      <t>As</t>
    </r>
    <r>
      <rPr>
        <sz val="12"/>
        <rFont val="宋体"/>
        <family val="0"/>
      </rPr>
      <t>Ⅰ</t>
    </r>
    <r>
      <rPr>
        <sz val="12"/>
        <rFont val="Times New Roman"/>
        <family val="1"/>
      </rPr>
      <t>=M</t>
    </r>
    <r>
      <rPr>
        <sz val="12"/>
        <rFont val="宋体"/>
        <family val="0"/>
      </rPr>
      <t>Ⅰ</t>
    </r>
    <r>
      <rPr>
        <sz val="12"/>
        <rFont val="Times New Roman"/>
        <family val="1"/>
      </rPr>
      <t>/0.9*h0*fy*L=</t>
    </r>
  </si>
  <si>
    <r>
      <t>As</t>
    </r>
    <r>
      <rPr>
        <sz val="12"/>
        <rFont val="宋体"/>
        <family val="0"/>
      </rPr>
      <t>Ⅱ</t>
    </r>
    <r>
      <rPr>
        <sz val="12"/>
        <rFont val="Times New Roman"/>
        <family val="1"/>
      </rPr>
      <t>=M</t>
    </r>
    <r>
      <rPr>
        <sz val="12"/>
        <rFont val="宋体"/>
        <family val="0"/>
      </rPr>
      <t>Ⅱ</t>
    </r>
    <r>
      <rPr>
        <sz val="12"/>
        <rFont val="Times New Roman"/>
        <family val="1"/>
      </rPr>
      <t>/0.9*h0*fy*B=</t>
    </r>
  </si>
  <si>
    <r>
      <t>X</t>
    </r>
    <r>
      <rPr>
        <sz val="12"/>
        <rFont val="宋体"/>
        <family val="0"/>
      </rPr>
      <t>向轴力点</t>
    </r>
    <r>
      <rPr>
        <sz val="12"/>
        <rFont val="Times New Roman"/>
        <family val="1"/>
      </rPr>
      <t>=Fk2*cx/(Fk1+Fk2)=</t>
    </r>
  </si>
  <si>
    <r>
      <t>Y</t>
    </r>
    <r>
      <rPr>
        <sz val="12"/>
        <rFont val="宋体"/>
        <family val="0"/>
      </rPr>
      <t>向轴力点</t>
    </r>
    <r>
      <rPr>
        <sz val="12"/>
        <rFont val="Times New Roman"/>
        <family val="1"/>
      </rPr>
      <t>=Fk2*cy/(Fk1+Fk2)=</t>
    </r>
  </si>
  <si>
    <r>
      <t>Mx=</t>
    </r>
    <r>
      <rPr>
        <sz val="12"/>
        <rFont val="宋体"/>
        <family val="0"/>
      </rPr>
      <t>γ</t>
    </r>
    <r>
      <rPr>
        <sz val="12"/>
        <rFont val="Times New Roman"/>
        <family val="1"/>
      </rPr>
      <t>z*{(Mkx1'+Mkx2')-(Vky1+Vky2)*H+Fk*ey0}=</t>
    </r>
  </si>
  <si>
    <r>
      <t>My=</t>
    </r>
    <r>
      <rPr>
        <sz val="12"/>
        <rFont val="宋体"/>
        <family val="0"/>
      </rPr>
      <t>γ</t>
    </r>
    <r>
      <rPr>
        <sz val="12"/>
        <rFont val="Times New Roman"/>
        <family val="1"/>
      </rPr>
      <t>z*{(Mky1'+Mky2')+(Vkx1+Vky2)*H+Fk*ex0}=</t>
    </r>
  </si>
  <si>
    <r>
      <t>(</t>
    </r>
    <r>
      <rPr>
        <sz val="12"/>
        <rFont val="宋体"/>
        <family val="0"/>
      </rPr>
      <t>双柱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柱根长度hc</t>
    </r>
  </si>
  <si>
    <r>
      <t>(</t>
    </r>
    <r>
      <rPr>
        <sz val="12"/>
        <rFont val="宋体"/>
        <family val="0"/>
      </rPr>
      <t>双柱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柱根宽度bc</t>
    </r>
  </si>
  <si>
    <t>X向轴力偏心距ex0=</t>
  </si>
  <si>
    <t>Y向轴力偏心距ey0=</t>
  </si>
  <si>
    <t>pumpa@sina.com.cn</t>
  </si>
  <si>
    <t>中间结果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</si>
</sst>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  <numFmt numFmtId="179" formatCode="0.0_ "/>
  </numFmts>
  <fonts count="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16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5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5" fillId="0" borderId="0" xfId="16" applyAlignment="1">
      <alignment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umpa@sina.com.cn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23.50390625" style="0" customWidth="1"/>
    <col min="2" max="2" width="14.375" style="0" customWidth="1"/>
    <col min="3" max="3" width="10.25390625" style="0" customWidth="1"/>
    <col min="4" max="4" width="9.25390625" style="0" customWidth="1"/>
    <col min="5" max="5" width="12.125" style="0" customWidth="1"/>
    <col min="6" max="6" width="8.50390625" style="0" customWidth="1"/>
    <col min="7" max="7" width="9.375" style="0" customWidth="1"/>
    <col min="8" max="8" width="6.625" style="0" customWidth="1"/>
    <col min="10" max="10" width="6.75390625" style="0" customWidth="1"/>
  </cols>
  <sheetData>
    <row r="1" spans="1:3" ht="15.75">
      <c r="A1" t="s">
        <v>117</v>
      </c>
      <c r="C1" s="1"/>
    </row>
    <row r="2" spans="1:4" ht="15.75">
      <c r="A2" t="s">
        <v>88</v>
      </c>
      <c r="C2" s="2">
        <v>210</v>
      </c>
      <c r="D2" s="1" t="s">
        <v>49</v>
      </c>
    </row>
    <row r="3" spans="1:3" ht="15.75">
      <c r="A3" t="s">
        <v>0</v>
      </c>
      <c r="C3" s="2">
        <v>0</v>
      </c>
    </row>
    <row r="4" spans="1:3" ht="15.75">
      <c r="A4" t="s">
        <v>1</v>
      </c>
      <c r="C4" s="2">
        <v>1</v>
      </c>
    </row>
    <row r="5" spans="1:4" ht="14.25">
      <c r="A5" t="s">
        <v>134</v>
      </c>
      <c r="C5" s="2">
        <v>20</v>
      </c>
      <c r="D5" t="s">
        <v>109</v>
      </c>
    </row>
    <row r="6" spans="1:4" ht="15.75">
      <c r="A6" t="s">
        <v>135</v>
      </c>
      <c r="C6" s="2">
        <v>20</v>
      </c>
      <c r="D6" t="s">
        <v>109</v>
      </c>
    </row>
    <row r="7" spans="1:4" ht="15.75">
      <c r="A7" t="s">
        <v>50</v>
      </c>
      <c r="C7" s="2">
        <v>2000</v>
      </c>
      <c r="D7" s="1" t="s">
        <v>46</v>
      </c>
    </row>
    <row r="8" spans="1:4" ht="15.75">
      <c r="A8" s="8" t="s">
        <v>7</v>
      </c>
      <c r="C8" s="9">
        <v>800</v>
      </c>
      <c r="D8" s="1" t="s">
        <v>21</v>
      </c>
    </row>
    <row r="9" spans="1:4" ht="15.75">
      <c r="A9" s="8" t="s">
        <v>92</v>
      </c>
      <c r="C9" s="9">
        <v>400</v>
      </c>
      <c r="D9" s="3" t="s">
        <v>21</v>
      </c>
    </row>
    <row r="10" spans="1:9" ht="15.75">
      <c r="A10" t="s">
        <v>132</v>
      </c>
      <c r="C10" s="2">
        <v>600</v>
      </c>
      <c r="D10" s="3" t="s">
        <v>21</v>
      </c>
      <c r="I10" t="s">
        <v>91</v>
      </c>
    </row>
    <row r="11" spans="1:11" ht="15.75">
      <c r="A11" t="s">
        <v>133</v>
      </c>
      <c r="C11" s="2">
        <v>600</v>
      </c>
      <c r="D11" s="3" t="s">
        <v>21</v>
      </c>
      <c r="I11" t="s">
        <v>97</v>
      </c>
      <c r="K11" s="8" t="str">
        <f>H45</f>
        <v>通过</v>
      </c>
    </row>
    <row r="12" spans="1:11" ht="15.75">
      <c r="A12" t="s">
        <v>143</v>
      </c>
      <c r="C12" s="2">
        <v>0</v>
      </c>
      <c r="D12" s="3" t="s">
        <v>21</v>
      </c>
      <c r="I12" t="s">
        <v>93</v>
      </c>
      <c r="K12" s="8" t="str">
        <f>H46</f>
        <v>通过</v>
      </c>
    </row>
    <row r="13" spans="1:11" ht="15.75">
      <c r="A13" t="s">
        <v>142</v>
      </c>
      <c r="C13" s="2">
        <v>0</v>
      </c>
      <c r="D13" s="3" t="s">
        <v>21</v>
      </c>
      <c r="I13" t="s">
        <v>95</v>
      </c>
      <c r="K13" s="8" t="str">
        <f>H47</f>
        <v>&gt;0可以</v>
      </c>
    </row>
    <row r="14" spans="1:11" ht="15.75">
      <c r="A14" t="s">
        <v>33</v>
      </c>
      <c r="C14" s="2">
        <v>2000</v>
      </c>
      <c r="D14" s="1" t="s">
        <v>21</v>
      </c>
      <c r="I14" t="s">
        <v>94</v>
      </c>
      <c r="K14" s="8" t="str">
        <f>H49</f>
        <v>通过</v>
      </c>
    </row>
    <row r="15" spans="1:11" ht="15.75">
      <c r="A15" t="s">
        <v>98</v>
      </c>
      <c r="C15" s="2">
        <v>1.35</v>
      </c>
      <c r="I15" t="s">
        <v>96</v>
      </c>
      <c r="K15" s="8" t="str">
        <f>H50</f>
        <v>&gt;0可以</v>
      </c>
    </row>
    <row r="16" spans="1:11" ht="14.25">
      <c r="A16" t="s">
        <v>3</v>
      </c>
      <c r="C16" s="2">
        <v>25</v>
      </c>
      <c r="I16" t="s">
        <v>43</v>
      </c>
      <c r="K16" s="8" t="str">
        <f>H61</f>
        <v>通过</v>
      </c>
    </row>
    <row r="17" spans="1:11" ht="15.75">
      <c r="A17" t="s">
        <v>4</v>
      </c>
      <c r="C17" s="2">
        <v>300</v>
      </c>
      <c r="D17" t="s">
        <v>104</v>
      </c>
      <c r="I17" t="s">
        <v>89</v>
      </c>
      <c r="K17" s="8" t="str">
        <f>H66</f>
        <v>通过</v>
      </c>
    </row>
    <row r="18" spans="1:11" ht="15.75">
      <c r="A18" s="18" t="s">
        <v>101</v>
      </c>
      <c r="C18" s="2">
        <v>80</v>
      </c>
      <c r="D18" s="1" t="s">
        <v>5</v>
      </c>
      <c r="I18" t="s">
        <v>139</v>
      </c>
      <c r="K18" s="8" t="str">
        <f>H69</f>
        <v>通过</v>
      </c>
    </row>
    <row r="19" spans="1:11" ht="15.75">
      <c r="A19" s="8" t="s">
        <v>121</v>
      </c>
      <c r="C19" s="9">
        <v>2540</v>
      </c>
      <c r="D19" t="s">
        <v>23</v>
      </c>
      <c r="E19" s="8" t="s">
        <v>126</v>
      </c>
      <c r="F19" s="9">
        <v>0</v>
      </c>
      <c r="G19" t="s">
        <v>23</v>
      </c>
      <c r="I19" t="s">
        <v>140</v>
      </c>
      <c r="K19" s="8" t="str">
        <f>H72</f>
        <v>通过</v>
      </c>
    </row>
    <row r="20" spans="1:11" ht="15.75">
      <c r="A20" s="8" t="s">
        <v>122</v>
      </c>
      <c r="C20" s="9">
        <v>23</v>
      </c>
      <c r="D20" t="s">
        <v>22</v>
      </c>
      <c r="E20" s="8" t="s">
        <v>127</v>
      </c>
      <c r="F20" s="9">
        <v>0</v>
      </c>
      <c r="G20" t="s">
        <v>22</v>
      </c>
      <c r="I20" t="s">
        <v>90</v>
      </c>
      <c r="K20" s="8" t="str">
        <f>H93</f>
        <v>通过</v>
      </c>
    </row>
    <row r="21" spans="1:11" ht="15.75">
      <c r="A21" s="8" t="s">
        <v>123</v>
      </c>
      <c r="C21" s="9">
        <v>-62</v>
      </c>
      <c r="D21" t="s">
        <v>22</v>
      </c>
      <c r="E21" s="8" t="s">
        <v>128</v>
      </c>
      <c r="F21" s="9">
        <v>0</v>
      </c>
      <c r="G21" t="s">
        <v>22</v>
      </c>
      <c r="I21" s="1" t="s">
        <v>102</v>
      </c>
      <c r="J21" s="12">
        <f>C86</f>
        <v>1126.7698241740968</v>
      </c>
      <c r="K21" t="s">
        <v>137</v>
      </c>
    </row>
    <row r="22" spans="1:11" ht="15.75">
      <c r="A22" s="8" t="s">
        <v>124</v>
      </c>
      <c r="C22" s="9">
        <v>31</v>
      </c>
      <c r="D22" t="s">
        <v>23</v>
      </c>
      <c r="E22" s="8" t="s">
        <v>129</v>
      </c>
      <c r="F22" s="9">
        <v>0</v>
      </c>
      <c r="G22" t="s">
        <v>23</v>
      </c>
      <c r="I22" s="1" t="s">
        <v>103</v>
      </c>
      <c r="J22" s="12">
        <f>C88</f>
        <v>1128.9085198640641</v>
      </c>
      <c r="K22" t="s">
        <v>137</v>
      </c>
    </row>
    <row r="23" spans="1:11" ht="15.75">
      <c r="A23" s="8" t="s">
        <v>125</v>
      </c>
      <c r="C23" s="9">
        <v>80</v>
      </c>
      <c r="D23" t="s">
        <v>23</v>
      </c>
      <c r="E23" s="8" t="s">
        <v>130</v>
      </c>
      <c r="F23" s="9">
        <v>0</v>
      </c>
      <c r="G23" t="s">
        <v>23</v>
      </c>
      <c r="I23" s="23" t="str">
        <f>IF(C17=300,"Φ","φ")</f>
        <v>Φ</v>
      </c>
      <c r="J23" s="22">
        <v>12</v>
      </c>
      <c r="K23" s="12" t="str">
        <f>"@"&amp;TEXT(1000/(J21/(3.14*J23^2/4)),"0")</f>
        <v>@100</v>
      </c>
    </row>
    <row r="24" spans="1:11" ht="15.75">
      <c r="A24" t="s">
        <v>31</v>
      </c>
      <c r="C24" s="2">
        <v>1</v>
      </c>
      <c r="D24" s="14" t="s">
        <v>150</v>
      </c>
      <c r="G24">
        <f>F19*C13/(C19+F19)</f>
        <v>0</v>
      </c>
      <c r="H24" s="1" t="s">
        <v>21</v>
      </c>
      <c r="I24" s="23" t="str">
        <f>IF(C17=300,"Φ","φ")</f>
        <v>Φ</v>
      </c>
      <c r="J24" s="22">
        <v>12</v>
      </c>
      <c r="K24" s="12" t="str">
        <f>"@"&amp;TEXT(1000/(J22/(3.14*J24^2/4)),"0")</f>
        <v>@100</v>
      </c>
    </row>
    <row r="25" spans="1:8" ht="15.75">
      <c r="A25" t="s">
        <v>136</v>
      </c>
      <c r="B25">
        <f>C8-C18</f>
        <v>720</v>
      </c>
      <c r="C25" s="1" t="s">
        <v>24</v>
      </c>
      <c r="D25" s="14" t="s">
        <v>151</v>
      </c>
      <c r="G25">
        <f>F19*C12/(C19+F19)</f>
        <v>0</v>
      </c>
      <c r="H25" s="1" t="s">
        <v>21</v>
      </c>
    </row>
    <row r="26" spans="1:8" ht="15.75">
      <c r="A26" s="1" t="s">
        <v>155</v>
      </c>
      <c r="B26">
        <f>C12+C10</f>
        <v>600</v>
      </c>
      <c r="C26" s="1" t="s">
        <v>21</v>
      </c>
      <c r="D26" t="s">
        <v>156</v>
      </c>
      <c r="G26">
        <f>G24-C13/2</f>
        <v>0</v>
      </c>
      <c r="H26" s="1" t="s">
        <v>21</v>
      </c>
    </row>
    <row r="27" spans="1:8" ht="15.75">
      <c r="A27" s="1" t="s">
        <v>154</v>
      </c>
      <c r="B27">
        <f>C13+C11</f>
        <v>600</v>
      </c>
      <c r="C27" s="1" t="s">
        <v>21</v>
      </c>
      <c r="D27" t="s">
        <v>157</v>
      </c>
      <c r="G27">
        <f>G25-C12/2</f>
        <v>0</v>
      </c>
      <c r="H27" s="1" t="s">
        <v>21</v>
      </c>
    </row>
    <row r="28" spans="1:7" ht="15.75">
      <c r="A28" t="s">
        <v>131</v>
      </c>
      <c r="C28" s="10">
        <f>C19+F19</f>
        <v>2540</v>
      </c>
      <c r="D28" t="s">
        <v>23</v>
      </c>
      <c r="E28" s="15" t="s">
        <v>99</v>
      </c>
      <c r="F28">
        <f>IF(C16=20,9.6,IF(C16=25,11.9,IF(C16=30,14.3,IF(C16=35,16.7,IF(C16=40,19.1)))))</f>
        <v>11.9</v>
      </c>
      <c r="G28" t="s">
        <v>104</v>
      </c>
    </row>
    <row r="29" spans="1:7" ht="15.75">
      <c r="A29" t="s">
        <v>36</v>
      </c>
      <c r="C29" s="10">
        <f>C15*C28</f>
        <v>3429</v>
      </c>
      <c r="D29" t="s">
        <v>23</v>
      </c>
      <c r="E29" s="15" t="s">
        <v>100</v>
      </c>
      <c r="F29">
        <f>IF(C16=20,1.1,IF(C16=25,1.27,IF(C16=30,1.43,IF(C16=35,1.57,IF(C16=40,1.71)))))</f>
        <v>1.27</v>
      </c>
      <c r="G29" t="s">
        <v>104</v>
      </c>
    </row>
    <row r="30" spans="1:4" ht="15.75">
      <c r="A30" t="s">
        <v>138</v>
      </c>
      <c r="C30" s="8">
        <f>C2+C3*C5*((IF(MIN(G32,G33)&lt;3000,3000,MIN(G32,G33)))-3000)/1000+C4*C6*((IF(C7&lt;500,500,C7))-500)/1000</f>
        <v>240</v>
      </c>
      <c r="D30" s="1" t="s">
        <v>2</v>
      </c>
    </row>
    <row r="31" spans="1:5" ht="15.75">
      <c r="A31" t="s">
        <v>141</v>
      </c>
      <c r="C31" s="10">
        <f>(C19+F19)/(C30-20*C14*0.001)</f>
        <v>12.7</v>
      </c>
      <c r="D31" s="1" t="s">
        <v>107</v>
      </c>
      <c r="E31" s="1" t="s">
        <v>116</v>
      </c>
    </row>
    <row r="32" spans="1:8" ht="15.75">
      <c r="A32" s="5" t="s">
        <v>6</v>
      </c>
      <c r="C32" s="12">
        <f>SQRT(C31/C24)*1000</f>
        <v>3563.7059362410923</v>
      </c>
      <c r="D32" s="1" t="s">
        <v>47</v>
      </c>
      <c r="E32" s="8" t="s">
        <v>110</v>
      </c>
      <c r="G32" s="9">
        <v>3600</v>
      </c>
      <c r="H32" s="1" t="s">
        <v>46</v>
      </c>
    </row>
    <row r="33" spans="1:8" ht="15.75">
      <c r="A33" s="5" t="s">
        <v>41</v>
      </c>
      <c r="C33" s="12">
        <f>C24*C32</f>
        <v>3563.7059362410923</v>
      </c>
      <c r="D33" s="1" t="s">
        <v>48</v>
      </c>
      <c r="E33" s="8" t="s">
        <v>40</v>
      </c>
      <c r="G33" s="9">
        <v>3600</v>
      </c>
      <c r="H33" s="1" t="s">
        <v>47</v>
      </c>
    </row>
    <row r="34" spans="1:5" ht="15.75">
      <c r="A34" s="1" t="s">
        <v>152</v>
      </c>
      <c r="D34" s="21">
        <f>C15*((C20+F20)-(C23+F23)*C8/1000+C28*G27/1000)</f>
        <v>-55.35</v>
      </c>
      <c r="E34" t="s">
        <v>22</v>
      </c>
    </row>
    <row r="35" spans="1:5" ht="15.75">
      <c r="A35" s="1" t="s">
        <v>153</v>
      </c>
      <c r="D35" s="21">
        <f>C15*((C21+F21)+(C22+F22)*C8/1000+C28*G26/1000)</f>
        <v>-50.220000000000006</v>
      </c>
      <c r="E35" t="s">
        <v>22</v>
      </c>
    </row>
    <row r="36" spans="1:4" ht="15.75">
      <c r="A36" s="1" t="s">
        <v>10</v>
      </c>
      <c r="C36">
        <f>(C9*G33+(G33+B26+100)*(C8-C9)/2)/10^6</f>
        <v>2.3</v>
      </c>
      <c r="D36" s="1" t="s">
        <v>107</v>
      </c>
    </row>
    <row r="37" spans="1:4" ht="15.75">
      <c r="A37" t="s">
        <v>9</v>
      </c>
      <c r="C37">
        <f>(C9*G32+(G32+B27+100)*(C8-C9)/2)/10^6</f>
        <v>2.3</v>
      </c>
      <c r="D37" s="1" t="s">
        <v>107</v>
      </c>
    </row>
    <row r="38" spans="1:6" ht="15.75">
      <c r="A38" s="1" t="s">
        <v>11</v>
      </c>
      <c r="C38" s="10">
        <f>ATAN(2*(C8-C9)/(G32-B27-100))*180/PI()</f>
        <v>15.42216131873867</v>
      </c>
      <c r="D38" t="s">
        <v>12</v>
      </c>
      <c r="E38" s="1"/>
      <c r="F38" s="1"/>
    </row>
    <row r="39" spans="1:5" ht="15.75">
      <c r="A39" s="1" t="s">
        <v>13</v>
      </c>
      <c r="C39" s="10">
        <f>ATAN(2*(C8-C9)/(G33-B26-100))*180/PI()</f>
        <v>15.42216131873867</v>
      </c>
      <c r="D39" t="s">
        <v>12</v>
      </c>
      <c r="E39" s="1"/>
    </row>
    <row r="40" spans="1:5" ht="15.75">
      <c r="A40" s="6" t="s">
        <v>14</v>
      </c>
      <c r="C40" s="10">
        <f>G32*G33/10^6</f>
        <v>12.96</v>
      </c>
      <c r="D40" s="1" t="s">
        <v>107</v>
      </c>
      <c r="E40" s="1"/>
    </row>
    <row r="41" spans="1:5" ht="15.75">
      <c r="A41" t="s">
        <v>32</v>
      </c>
      <c r="C41" s="10">
        <f>G33*G32*G32/6/10^9</f>
        <v>7.776</v>
      </c>
      <c r="D41" s="1" t="s">
        <v>108</v>
      </c>
      <c r="E41" s="1"/>
    </row>
    <row r="42" spans="1:5" ht="15.75">
      <c r="A42" s="1" t="s">
        <v>51</v>
      </c>
      <c r="C42" s="10">
        <f>G32*G33*G33/6/10^9</f>
        <v>7.776</v>
      </c>
      <c r="D42" s="1" t="s">
        <v>108</v>
      </c>
      <c r="E42" s="1"/>
    </row>
    <row r="43" spans="1:4" ht="14.25">
      <c r="A43" s="5" t="s">
        <v>115</v>
      </c>
      <c r="C43" s="10">
        <f>20*C40*C14/1000</f>
        <v>518.4000000000001</v>
      </c>
      <c r="D43" t="s">
        <v>105</v>
      </c>
    </row>
    <row r="44" spans="1:5" ht="15.75">
      <c r="A44" s="5" t="s">
        <v>67</v>
      </c>
      <c r="C44">
        <f>C15*C43</f>
        <v>699.8400000000001</v>
      </c>
      <c r="D44" t="s">
        <v>105</v>
      </c>
      <c r="E44" s="1"/>
    </row>
    <row r="45" spans="1:8" ht="15.75">
      <c r="A45" t="s">
        <v>15</v>
      </c>
      <c r="C45" s="10">
        <f>(C28+C43)/C40</f>
        <v>235.98765432098764</v>
      </c>
      <c r="D45" s="7" t="str">
        <f aca="true" t="shared" si="0" ref="D45:D50">IF(C45&lt;F45,"&lt;","&gt;")</f>
        <v>&lt;</v>
      </c>
      <c r="E45" s="1" t="s">
        <v>16</v>
      </c>
      <c r="F45" s="21">
        <f>C30</f>
        <v>240</v>
      </c>
      <c r="G45" s="1" t="s">
        <v>17</v>
      </c>
      <c r="H45" s="8" t="str">
        <f>IF(D45="&lt;","通过","未通过")</f>
        <v>通过</v>
      </c>
    </row>
    <row r="46" spans="1:8" ht="15.75">
      <c r="A46" s="1" t="s">
        <v>144</v>
      </c>
      <c r="C46" s="10">
        <f>C45+ABS(D35)/C15/C41</f>
        <v>240.7716049382716</v>
      </c>
      <c r="D46" s="7" t="str">
        <f t="shared" si="0"/>
        <v>&lt;</v>
      </c>
      <c r="E46" s="1" t="s">
        <v>18</v>
      </c>
      <c r="F46" s="21">
        <f>1.2*F45</f>
        <v>288</v>
      </c>
      <c r="G46" s="1" t="s">
        <v>17</v>
      </c>
      <c r="H46" s="8" t="str">
        <f>IF(D46="&lt;","通过","未通过")</f>
        <v>通过</v>
      </c>
    </row>
    <row r="47" spans="1:8" ht="15.75">
      <c r="A47" s="1" t="s">
        <v>145</v>
      </c>
      <c r="C47" s="10">
        <f>C45-ABS(D35)/C15/C41</f>
        <v>231.2037037037037</v>
      </c>
      <c r="D47" s="7" t="str">
        <f>IF(C47&lt;F47,"&lt;","&gt;")</f>
        <v>&gt;</v>
      </c>
      <c r="F47" s="10">
        <v>0</v>
      </c>
      <c r="G47" s="1" t="s">
        <v>17</v>
      </c>
      <c r="H47" s="8" t="str">
        <f>IF(D47="&lt;","不宜&lt;0","&gt;0可以")</f>
        <v>&gt;0可以</v>
      </c>
    </row>
    <row r="48" spans="1:8" ht="15.75">
      <c r="A48" s="1" t="s">
        <v>52</v>
      </c>
      <c r="C48" s="11">
        <f>D35/C15/(C28+C43)</f>
        <v>-0.012163222600052315</v>
      </c>
      <c r="D48" s="7" t="str">
        <f>IF(ABS(C48)&lt;F48,"&lt;","&gt;")</f>
        <v>&lt;</v>
      </c>
      <c r="E48" s="1" t="s">
        <v>19</v>
      </c>
      <c r="F48" s="10">
        <f>G32/6/1000</f>
        <v>0.6</v>
      </c>
      <c r="G48" s="1" t="s">
        <v>8</v>
      </c>
      <c r="H48" s="8">
        <f>IF(D48="&gt;","不宜","")</f>
      </c>
    </row>
    <row r="49" spans="1:8" ht="15.75">
      <c r="A49" s="1" t="s">
        <v>146</v>
      </c>
      <c r="C49" s="10">
        <f>C45+ABS(D34)/C15/C42</f>
        <v>241.2602880658436</v>
      </c>
      <c r="D49" s="7" t="str">
        <f t="shared" si="0"/>
        <v>&lt;</v>
      </c>
      <c r="E49" s="1" t="s">
        <v>18</v>
      </c>
      <c r="F49" s="21">
        <f>F46</f>
        <v>288</v>
      </c>
      <c r="G49" s="1" t="s">
        <v>17</v>
      </c>
      <c r="H49" s="8" t="str">
        <f>IF(D49="&lt;","通过","未通过")</f>
        <v>通过</v>
      </c>
    </row>
    <row r="50" spans="1:8" ht="15.75">
      <c r="A50" s="1" t="s">
        <v>147</v>
      </c>
      <c r="C50" s="10">
        <f>C45-ABS(D34)/C15/C42</f>
        <v>230.71502057613168</v>
      </c>
      <c r="D50" s="7" t="str">
        <f t="shared" si="0"/>
        <v>&gt;</v>
      </c>
      <c r="F50" s="10">
        <v>0</v>
      </c>
      <c r="G50" s="1" t="s">
        <v>17</v>
      </c>
      <c r="H50" s="8" t="str">
        <f>IF(D50="&lt;","不宜&lt;0","&gt;0可以")</f>
        <v>&gt;0可以</v>
      </c>
    </row>
    <row r="51" spans="1:9" ht="15.75">
      <c r="A51" s="1" t="s">
        <v>53</v>
      </c>
      <c r="C51" s="11">
        <f>D34/C15/(C28+C43)</f>
        <v>-0.013405702328014647</v>
      </c>
      <c r="D51" s="7" t="str">
        <f>IF(ABS(C51)&lt;F51,"&lt;","&gt;")</f>
        <v>&lt;</v>
      </c>
      <c r="E51" s="1" t="s">
        <v>20</v>
      </c>
      <c r="F51" s="11">
        <f>G33/6/1000</f>
        <v>0.6</v>
      </c>
      <c r="G51" s="1" t="s">
        <v>8</v>
      </c>
      <c r="H51" s="8">
        <f>IF(D51="&gt;","不宜","")</f>
      </c>
      <c r="I51" t="s">
        <v>159</v>
      </c>
    </row>
    <row r="52" spans="1:15" ht="15.75">
      <c r="A52" t="s">
        <v>55</v>
      </c>
      <c r="B52" s="10">
        <f>C15*C46</f>
        <v>325.0416666666667</v>
      </c>
      <c r="C52" s="1" t="s">
        <v>17</v>
      </c>
      <c r="D52" t="s">
        <v>111</v>
      </c>
      <c r="F52" s="21">
        <f>B52-C44/C40</f>
        <v>271.0416666666667</v>
      </c>
      <c r="G52" s="1" t="s">
        <v>17</v>
      </c>
      <c r="H52" s="1"/>
      <c r="I52" s="16" t="s">
        <v>77</v>
      </c>
      <c r="J52" s="16"/>
      <c r="K52" s="16"/>
      <c r="L52" s="16"/>
      <c r="M52" s="16"/>
      <c r="N52" s="16"/>
      <c r="O52" s="16">
        <f>0.5*(G33+B26+2*B25)*(G33-B26-2*B25)/2+G33*(G32-B27-G33+B26)/2</f>
        <v>2199600</v>
      </c>
    </row>
    <row r="53" spans="1:15" ht="15.75">
      <c r="A53" t="s">
        <v>58</v>
      </c>
      <c r="B53" s="10">
        <f>C15*C49</f>
        <v>325.7013888888889</v>
      </c>
      <c r="C53" s="1" t="s">
        <v>17</v>
      </c>
      <c r="D53" t="s">
        <v>112</v>
      </c>
      <c r="E53" s="10"/>
      <c r="F53" s="21">
        <f>B53-C44/C40</f>
        <v>271.7013888888889</v>
      </c>
      <c r="G53" s="1" t="s">
        <v>17</v>
      </c>
      <c r="H53" s="1"/>
      <c r="I53" s="16" t="s">
        <v>81</v>
      </c>
      <c r="J53" s="16"/>
      <c r="K53" s="16"/>
      <c r="L53" s="16"/>
      <c r="M53" s="16"/>
      <c r="N53" s="16"/>
      <c r="O53" s="16">
        <f>G33*(0.5*(G32-B27)-B25)</f>
        <v>2808000</v>
      </c>
    </row>
    <row r="54" spans="1:15" ht="14.25">
      <c r="A54" s="8" t="s">
        <v>43</v>
      </c>
      <c r="I54" s="16" t="s">
        <v>83</v>
      </c>
      <c r="J54" s="16"/>
      <c r="K54" s="16"/>
      <c r="L54" s="16"/>
      <c r="M54" s="16"/>
      <c r="N54" s="16"/>
      <c r="O54" s="16">
        <f>0.5*(G32-B27+2*B26+2*B25)*((G32-B27)/2-B25)</f>
        <v>2199600</v>
      </c>
    </row>
    <row r="55" spans="1:15" ht="15.75">
      <c r="A55" s="4" t="s">
        <v>80</v>
      </c>
      <c r="B55">
        <f>G32-B27</f>
        <v>3000</v>
      </c>
      <c r="C55" s="7" t="str">
        <f>IF(B55=E55,"=",IF(E55&lt;B55,"&gt;","&lt;"))</f>
        <v>=</v>
      </c>
      <c r="D55" s="15" t="s">
        <v>76</v>
      </c>
      <c r="E55">
        <f>G33-B26</f>
        <v>3000</v>
      </c>
      <c r="F55" s="1" t="s">
        <v>24</v>
      </c>
      <c r="I55" s="16"/>
      <c r="J55" s="16"/>
      <c r="K55" s="16"/>
      <c r="L55" s="16"/>
      <c r="M55" s="16"/>
      <c r="N55" s="16"/>
      <c r="O55" s="16"/>
    </row>
    <row r="56" spans="1:15" ht="15.75">
      <c r="A56" s="15" t="s">
        <v>79</v>
      </c>
      <c r="B56">
        <f>G32</f>
        <v>3600</v>
      </c>
      <c r="C56" s="7" t="str">
        <f>IF(B56=E56,"=",IF(E56&lt;B56,"&gt;","&lt;"))</f>
        <v>&gt;</v>
      </c>
      <c r="D56" t="s">
        <v>54</v>
      </c>
      <c r="E56">
        <f>B27+2*B25</f>
        <v>2040</v>
      </c>
      <c r="F56" s="1" t="s">
        <v>24</v>
      </c>
      <c r="I56" s="16"/>
      <c r="J56" s="16"/>
      <c r="K56" s="16"/>
      <c r="L56" s="16"/>
      <c r="M56" s="16"/>
      <c r="N56" s="16"/>
      <c r="O56" s="16"/>
    </row>
    <row r="57" spans="1:15" ht="15.75">
      <c r="A57" s="15" t="s">
        <v>75</v>
      </c>
      <c r="B57">
        <f>G33</f>
        <v>3600</v>
      </c>
      <c r="C57" s="7" t="str">
        <f>IF(B57=E57,"=",IF(E57&lt;B57,"&gt;","&lt;"))</f>
        <v>&gt;</v>
      </c>
      <c r="D57" s="1" t="s">
        <v>74</v>
      </c>
      <c r="E57">
        <f>B27+2*B25</f>
        <v>2040</v>
      </c>
      <c r="F57" s="1" t="s">
        <v>24</v>
      </c>
      <c r="I57" s="16" t="s">
        <v>78</v>
      </c>
      <c r="J57" s="16"/>
      <c r="K57" s="16"/>
      <c r="L57" s="16"/>
      <c r="M57" s="16"/>
      <c r="N57" s="16"/>
      <c r="O57" s="16">
        <f>0.5*(G32+B27+2*B25)*(G32-B27-2*B25)/2+G32*(G33-B26-G32+B27)/2</f>
        <v>2199600</v>
      </c>
    </row>
    <row r="58" spans="1:15" ht="15.75">
      <c r="A58" t="str">
        <f>IF(C55="&gt;",IF(C56="&gt;",IF(C57="&gt;",I52,I53),0),IF(C56="&gt;",IF(C57="&gt;",I54,I53),0))</f>
        <v>Alx＝0.5*(b-hc+2*bc+2*Ho)*[(b-hc)/2-Ho]=</v>
      </c>
      <c r="E58">
        <f>IF(C55="&gt;",IF(C56="&gt;",IF(C57="&gt;",O52,O53),0),IF(C56="&gt;",IF(C57="&gt;",O54,O53),0))</f>
        <v>2199600</v>
      </c>
      <c r="F58" s="1" t="s">
        <v>106</v>
      </c>
      <c r="I58" s="16" t="s">
        <v>82</v>
      </c>
      <c r="J58" s="16"/>
      <c r="K58" s="16"/>
      <c r="L58" s="16"/>
      <c r="M58" s="16"/>
      <c r="N58" s="16"/>
      <c r="O58" s="16">
        <f>G32*(0.5*(G33-B26)-B25)</f>
        <v>2808000</v>
      </c>
    </row>
    <row r="59" spans="1:15" ht="15.75">
      <c r="A59" t="s">
        <v>25</v>
      </c>
      <c r="C59">
        <f>MIN(B26+2*B25,G33)</f>
        <v>2040</v>
      </c>
      <c r="D59" s="1" t="s">
        <v>46</v>
      </c>
      <c r="I59" s="16" t="s">
        <v>84</v>
      </c>
      <c r="J59" s="16"/>
      <c r="K59" s="16"/>
      <c r="L59" s="16"/>
      <c r="M59" s="16"/>
      <c r="N59" s="16"/>
      <c r="O59" s="16">
        <f>0.5*(G33-B26+2*B27+2*B25)*((G33-B26)/2-B25)</f>
        <v>2199600</v>
      </c>
    </row>
    <row r="60" spans="1:4" ht="15.75">
      <c r="A60" t="s">
        <v>26</v>
      </c>
      <c r="C60">
        <f>(B26+C59)/2</f>
        <v>1320</v>
      </c>
      <c r="D60" s="1" t="s">
        <v>46</v>
      </c>
    </row>
    <row r="61" spans="1:8" ht="14.25">
      <c r="A61" t="s">
        <v>27</v>
      </c>
      <c r="C61" s="10">
        <f>0.7*0.9*F29*C60*B25/1000</f>
        <v>760.4150400000001</v>
      </c>
      <c r="D61" s="7" t="str">
        <f>IF(C61&gt;G61,"&gt;","&lt;")</f>
        <v>&gt;</v>
      </c>
      <c r="E61" t="s">
        <v>113</v>
      </c>
      <c r="G61" s="10">
        <f>F52*E58/10^6</f>
        <v>596.18325</v>
      </c>
      <c r="H61" s="8" t="str">
        <f>IF(D61="&gt;","通过","未通过")</f>
        <v>通过</v>
      </c>
    </row>
    <row r="62" ht="14.25">
      <c r="A62" s="8" t="s">
        <v>44</v>
      </c>
    </row>
    <row r="63" spans="1:6" ht="15.75">
      <c r="A63" t="str">
        <f>IF(C55="&lt;",IF(C56="&gt;",IF(C57="&gt;",I57,I58),0),IF(C56="&gt;",IF(C57="&gt;",I59,I58),0))</f>
        <v>Aly＝0.5*(l-bc+2*hc+2*Ho)*[(l-bc)/2-Ho]=</v>
      </c>
      <c r="E63">
        <f>IF(C55="&lt;",IF(C56="&gt;",IF(C57="&gt;",O57,O58),0),IF(C56="&gt;",IF(C57="&gt;",O59,O58),0))</f>
        <v>2199600</v>
      </c>
      <c r="F63" s="1" t="s">
        <v>118</v>
      </c>
    </row>
    <row r="64" spans="1:4" ht="15.75">
      <c r="A64" t="s">
        <v>28</v>
      </c>
      <c r="C64">
        <f>MIN(B27+2*B25,G32)</f>
        <v>2040</v>
      </c>
      <c r="D64" s="1" t="s">
        <v>47</v>
      </c>
    </row>
    <row r="65" spans="1:4" ht="15.75">
      <c r="A65" t="s">
        <v>29</v>
      </c>
      <c r="C65">
        <f>(B27+C64)/2</f>
        <v>1320</v>
      </c>
      <c r="D65" s="1" t="s">
        <v>47</v>
      </c>
    </row>
    <row r="66" spans="1:8" ht="14.25">
      <c r="A66" t="s">
        <v>30</v>
      </c>
      <c r="C66" s="10">
        <f>0.7*0.9*F29*C65*B25/1000</f>
        <v>760.4150400000001</v>
      </c>
      <c r="D66" s="7" t="str">
        <f>IF(C66&gt;G66,"&gt;","&lt;")</f>
        <v>&gt;</v>
      </c>
      <c r="E66" t="s">
        <v>114</v>
      </c>
      <c r="G66" s="10">
        <f>F53*E63/10^6</f>
        <v>597.634375</v>
      </c>
      <c r="H66" s="8" t="str">
        <f>IF(D66="&gt;","通过","未通过")</f>
        <v>通过</v>
      </c>
    </row>
    <row r="67" ht="14.25">
      <c r="A67" s="8" t="s">
        <v>68</v>
      </c>
    </row>
    <row r="68" spans="1:8" ht="15.75">
      <c r="A68" t="s">
        <v>86</v>
      </c>
      <c r="G68" s="10">
        <f>(1-0.5*(1-(B26+2*50)/G33)*(B25-C9)/B25)*G33</f>
        <v>2955.5555555555557</v>
      </c>
      <c r="H68" s="1" t="s">
        <v>47</v>
      </c>
    </row>
    <row r="69" spans="1:8" ht="14.25">
      <c r="A69" t="s">
        <v>69</v>
      </c>
      <c r="C69" s="10">
        <f>F52*(G32-B27)*G33/2/10^6</f>
        <v>1463.625</v>
      </c>
      <c r="D69" s="7" t="str">
        <f>IF(C69&gt;G69,"&gt;","&lt;")</f>
        <v>&lt;</v>
      </c>
      <c r="E69" t="s">
        <v>70</v>
      </c>
      <c r="G69" s="10">
        <f>0.7*1*F29*G68*B25/1000</f>
        <v>1891.7919999999997</v>
      </c>
      <c r="H69" s="8" t="str">
        <f>IF(D69="&lt;","通过","未通过")</f>
        <v>通过</v>
      </c>
    </row>
    <row r="70" ht="14.25">
      <c r="A70" s="8" t="s">
        <v>71</v>
      </c>
    </row>
    <row r="71" spans="1:8" ht="15.75">
      <c r="A71" t="s">
        <v>87</v>
      </c>
      <c r="G71" s="10">
        <f>(1-0.5*(1-(B27+2*50)/G33)*(B25-C9)/B25)*G32</f>
        <v>2955.5555555555557</v>
      </c>
      <c r="H71" s="1" t="s">
        <v>47</v>
      </c>
    </row>
    <row r="72" spans="1:8" ht="15.75">
      <c r="A72" s="14" t="s">
        <v>72</v>
      </c>
      <c r="B72" s="13"/>
      <c r="C72" s="10">
        <f>F52*(G33-B26)*G32/2/10^6</f>
        <v>1463.625</v>
      </c>
      <c r="D72" s="7" t="str">
        <f>IF(C72&gt;G72,"&gt;","&lt;")</f>
        <v>&lt;</v>
      </c>
      <c r="E72" t="s">
        <v>85</v>
      </c>
      <c r="G72" s="10">
        <f>0.7*1*F29*G71*B25/1000</f>
        <v>1891.7919999999997</v>
      </c>
      <c r="H72" s="8" t="str">
        <f>IF(D72="&lt;","通过","未通过")</f>
        <v>通过</v>
      </c>
    </row>
    <row r="73" ht="15.75">
      <c r="A73" s="8" t="s">
        <v>45</v>
      </c>
    </row>
    <row r="74" spans="1:3" ht="14.25">
      <c r="A74" t="s">
        <v>55</v>
      </c>
      <c r="B74" s="10">
        <f>C15*C46</f>
        <v>325.0416666666667</v>
      </c>
      <c r="C74" t="s">
        <v>119</v>
      </c>
    </row>
    <row r="75" spans="1:3" ht="14.25">
      <c r="A75" t="s">
        <v>56</v>
      </c>
      <c r="B75" s="10">
        <f>C15*C47</f>
        <v>312.125</v>
      </c>
      <c r="C75" t="s">
        <v>119</v>
      </c>
    </row>
    <row r="76" spans="1:4" ht="14.25">
      <c r="A76" t="s">
        <v>34</v>
      </c>
      <c r="C76" s="10">
        <f>B75+(B74-B75)*(G32+B27)/G32/2</f>
        <v>319.65972222222223</v>
      </c>
      <c r="D76" t="s">
        <v>2</v>
      </c>
    </row>
    <row r="77" spans="1:7" ht="14.25">
      <c r="A77" t="s">
        <v>120</v>
      </c>
      <c r="F77" s="21">
        <f>(G32-B27)^2*((2*G33+B26)*(B74+C76-2*C44/C40)+(B74-C76)*G33)/48/10^9</f>
        <v>788.5585937500001</v>
      </c>
      <c r="G77" t="s">
        <v>22</v>
      </c>
    </row>
    <row r="78" spans="1:7" ht="14.25">
      <c r="A78" t="s">
        <v>35</v>
      </c>
      <c r="F78" s="21">
        <f>(G33-B26)^2*(2*G32+B27)*(B74+B75-2*C44/C40)/48/10^9</f>
        <v>773.9062500000001</v>
      </c>
      <c r="G78" t="s">
        <v>22</v>
      </c>
    </row>
    <row r="79" ht="14.25">
      <c r="A79" s="8" t="s">
        <v>37</v>
      </c>
    </row>
    <row r="80" spans="1:3" ht="14.25">
      <c r="A80" t="s">
        <v>58</v>
      </c>
      <c r="B80" s="10">
        <f>C15*C49</f>
        <v>325.7013888888889</v>
      </c>
      <c r="C80" t="s">
        <v>119</v>
      </c>
    </row>
    <row r="81" spans="1:3" ht="14.25">
      <c r="A81" t="s">
        <v>57</v>
      </c>
      <c r="B81" s="10">
        <f>C15*C50</f>
        <v>311.46527777777777</v>
      </c>
      <c r="C81" t="s">
        <v>119</v>
      </c>
    </row>
    <row r="82" spans="1:4" ht="14.25">
      <c r="A82" t="s">
        <v>38</v>
      </c>
      <c r="C82" s="10">
        <f>B81+(B80-B81)*(G33+B26)/G33/2</f>
        <v>319.7696759259259</v>
      </c>
      <c r="D82" t="s">
        <v>119</v>
      </c>
    </row>
    <row r="83" spans="1:7" ht="14.25">
      <c r="A83" t="s">
        <v>42</v>
      </c>
      <c r="F83" s="21">
        <f>(G32-B27)^2*((2*G33+B26)*(B80+C82-2*C44/C40)+(B80-C82)*G33)/48/10^9</f>
        <v>790.0553385416666</v>
      </c>
      <c r="G83" t="s">
        <v>22</v>
      </c>
    </row>
    <row r="84" spans="1:7" ht="14.25">
      <c r="A84" t="s">
        <v>39</v>
      </c>
      <c r="F84" s="21">
        <f>(G33-B26)^2*(2*G32+B27)*(B80+B81-2*C44/C40)/48/10^9</f>
        <v>773.9062500000001</v>
      </c>
      <c r="G84" t="s">
        <v>22</v>
      </c>
    </row>
    <row r="85" spans="1:4" ht="15.75">
      <c r="A85" s="1" t="s">
        <v>59</v>
      </c>
      <c r="C85" s="10">
        <f>MAX(F77,F84)</f>
        <v>788.5585937500001</v>
      </c>
      <c r="D85" t="s">
        <v>22</v>
      </c>
    </row>
    <row r="86" spans="1:7" ht="15.75">
      <c r="A86" s="1" t="s">
        <v>148</v>
      </c>
      <c r="C86" s="12">
        <f>C85/0.9/B25/C17*10^6/G33*1000</f>
        <v>1126.7698241740968</v>
      </c>
      <c r="D86" t="s">
        <v>137</v>
      </c>
      <c r="E86" s="23" t="str">
        <f>IF(C17=300,"Φ","φ")</f>
        <v>Φ</v>
      </c>
      <c r="F86" s="22">
        <v>12</v>
      </c>
      <c r="G86" s="12" t="str">
        <f>"@"&amp;TEXT(1000/(C86/(3.14*F86^2/4)),"0")</f>
        <v>@100</v>
      </c>
    </row>
    <row r="87" spans="1:4" ht="15.75">
      <c r="A87" s="1" t="s">
        <v>60</v>
      </c>
      <c r="C87" s="10">
        <f>MAX(F78,F83)</f>
        <v>790.0553385416666</v>
      </c>
      <c r="D87" t="s">
        <v>22</v>
      </c>
    </row>
    <row r="88" spans="1:7" ht="15.75">
      <c r="A88" s="1" t="s">
        <v>149</v>
      </c>
      <c r="C88" s="12">
        <f>C87/0.9/B25/C17*10^6/G32*1000</f>
        <v>1128.9085198640641</v>
      </c>
      <c r="D88" t="s">
        <v>137</v>
      </c>
      <c r="E88" s="23" t="str">
        <f>IF(C17=300,"Φ","φ")</f>
        <v>Φ</v>
      </c>
      <c r="F88" s="22">
        <v>12</v>
      </c>
      <c r="G88" s="12" t="str">
        <f>"@"&amp;TEXT(1000/(C88/(3.14*F88^2/4)),"0")</f>
        <v>@100</v>
      </c>
    </row>
    <row r="89" ht="14.25">
      <c r="A89" s="8" t="s">
        <v>61</v>
      </c>
    </row>
    <row r="90" spans="1:4" ht="14.25">
      <c r="A90" t="s">
        <v>62</v>
      </c>
      <c r="C90">
        <f>B26*B27</f>
        <v>360000</v>
      </c>
      <c r="D90" t="s">
        <v>106</v>
      </c>
    </row>
    <row r="91" spans="1:4" ht="14.25">
      <c r="A91" t="s">
        <v>63</v>
      </c>
      <c r="C91">
        <f>(B26+2*50)*(B27+2*50)</f>
        <v>490000</v>
      </c>
      <c r="D91" t="s">
        <v>106</v>
      </c>
    </row>
    <row r="92" spans="1:2" ht="14.25">
      <c r="A92" t="s">
        <v>64</v>
      </c>
      <c r="B92" s="10">
        <f>SQRT(C91/C90)</f>
        <v>1.1666666666666667</v>
      </c>
    </row>
    <row r="93" spans="1:8" ht="15.75">
      <c r="A93" s="1" t="s">
        <v>66</v>
      </c>
      <c r="C93" s="10">
        <f>1.35*B92*F28*C90/1000</f>
        <v>6747.300000000001</v>
      </c>
      <c r="D93" s="7" t="str">
        <f>IF(C93&gt;F93,"&gt;","&lt;")</f>
        <v>&gt;</v>
      </c>
      <c r="E93" s="1" t="s">
        <v>73</v>
      </c>
      <c r="F93" s="21">
        <f>C29</f>
        <v>3429</v>
      </c>
      <c r="G93" s="1" t="s">
        <v>65</v>
      </c>
      <c r="H93" s="8" t="str">
        <f>IF(D93="&gt;","通过","未通过")</f>
        <v>通过</v>
      </c>
    </row>
    <row r="95" ht="14.25">
      <c r="A95" s="20"/>
    </row>
    <row r="96" ht="14.25">
      <c r="A96" s="17"/>
    </row>
    <row r="97" ht="14.25">
      <c r="A97" s="19"/>
    </row>
    <row r="98" ht="14.25">
      <c r="A98" s="24" t="s">
        <v>158</v>
      </c>
    </row>
  </sheetData>
  <sheetProtection/>
  <conditionalFormatting sqref="H49 H72 H61 H66 H93 H69 H45:H46 K11:K12 K14 K16:K20">
    <cfRule type="cellIs" priority="1" dxfId="0" operator="equal" stopIfTrue="1">
      <formula>"未通过"</formula>
    </cfRule>
  </conditionalFormatting>
  <conditionalFormatting sqref="H47 H50 K13 K15">
    <cfRule type="cellIs" priority="2" dxfId="0" operator="equal" stopIfTrue="1">
      <formula>"不宜&lt;0"</formula>
    </cfRule>
  </conditionalFormatting>
  <conditionalFormatting sqref="D45:D46 D48:D49 D69 D72">
    <cfRule type="cellIs" priority="3" dxfId="0" operator="equal" stopIfTrue="1">
      <formula>"&gt;"</formula>
    </cfRule>
  </conditionalFormatting>
  <conditionalFormatting sqref="D47 D50 D61 D66 D93">
    <cfRule type="cellIs" priority="4" dxfId="0" operator="equal" stopIfTrue="1">
      <formula>"&lt;"</formula>
    </cfRule>
  </conditionalFormatting>
  <conditionalFormatting sqref="H51 H48">
    <cfRule type="cellIs" priority="5" dxfId="0" operator="equal" stopIfTrue="1">
      <formula>"不宜"</formula>
    </cfRule>
  </conditionalFormatting>
  <dataValidations count="4">
    <dataValidation type="list" allowBlank="1" showInputMessage="1" showErrorMessage="1" sqref="C16">
      <formula1>"20,25,30,35,40"</formula1>
    </dataValidation>
    <dataValidation type="list" allowBlank="1" showInputMessage="1" showErrorMessage="1" sqref="F88 F86">
      <formula1>"12,14,16,18,20,22,25"</formula1>
    </dataValidation>
    <dataValidation type="list" allowBlank="1" showInputMessage="1" showErrorMessage="1" sqref="C17">
      <formula1>"210,300"</formula1>
    </dataValidation>
    <dataValidation type="list" allowBlank="1" showInputMessage="1" showErrorMessage="1" sqref="J23:J24">
      <formula1>"10,12,14,16,18,20,22,25"</formula1>
    </dataValidation>
  </dataValidations>
  <hyperlinks>
    <hyperlink ref="A98" r:id="rId1" display="pumpa@sina.com.cn"/>
  </hyperlinks>
  <printOptions horizontalCentered="1"/>
  <pageMargins left="0.1968503937007874" right="0.1968503937007874" top="0.5905511811023623" bottom="0.1968503937007874" header="0.3937007874015748" footer="0"/>
  <pageSetup orientation="portrait" paperSize="9" r:id="rId4"/>
  <headerFooter alignWithMargins="0">
    <oddFooter>&amp;C第 &amp;P 页</oddFooter>
  </headerFooter>
  <legacyDrawing r:id="rId3"/>
  <oleObjects>
    <oleObject progId="StaticMetafile" shapeId="23058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</dc:creator>
  <cp:keywords/>
  <dc:description/>
  <cp:lastModifiedBy>GYB</cp:lastModifiedBy>
  <cp:lastPrinted>2003-11-02T07:18:26Z</cp:lastPrinted>
  <dcterms:created xsi:type="dcterms:W3CDTF">2003-09-05T05:17:47Z</dcterms:created>
  <dcterms:modified xsi:type="dcterms:W3CDTF">2003-11-05T12:54:29Z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