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770" windowHeight="4695" tabRatio="604" activeTab="0"/>
  </bookViews>
  <sheets>
    <sheet name="钢混柱基" sheetId="1" r:id="rId1"/>
  </sheets>
  <definedNames>
    <definedName name="_xlnm.Print_Area" localSheetId="0">'钢混柱基'!$A$1:$J$90</definedName>
  </definedNames>
  <calcPr fullCalcOnLoad="1"/>
</workbook>
</file>

<file path=xl/sharedStrings.xml><?xml version="1.0" encoding="utf-8"?>
<sst xmlns="http://schemas.openxmlformats.org/spreadsheetml/2006/main" count="226" uniqueCount="152">
  <si>
    <r>
      <t>条件</t>
    </r>
    <r>
      <rPr>
        <b/>
        <sz val="10"/>
        <color indexed="8"/>
        <rFont val="Arial"/>
        <family val="2"/>
      </rPr>
      <t>:</t>
    </r>
  </si>
  <si>
    <r>
      <t>混凝土</t>
    </r>
    <r>
      <rPr>
        <sz val="10"/>
        <rFont val="Arial"/>
        <family val="2"/>
      </rPr>
      <t>:</t>
    </r>
  </si>
  <si>
    <t>C20</t>
  </si>
  <si>
    <t>mm</t>
  </si>
  <si>
    <r>
      <t>荷载</t>
    </r>
    <r>
      <rPr>
        <sz val="10"/>
        <rFont val="楷体_GB2312"/>
        <family val="3"/>
      </rPr>
      <t>:</t>
    </r>
  </si>
  <si>
    <t>N=</t>
  </si>
  <si>
    <t>kN</t>
  </si>
  <si>
    <r>
      <t>基础埋深</t>
    </r>
    <r>
      <rPr>
        <sz val="10"/>
        <rFont val="楷体_GB2312"/>
        <family val="3"/>
      </rPr>
      <t>:</t>
    </r>
  </si>
  <si>
    <t>d=</t>
  </si>
  <si>
    <t>m</t>
  </si>
  <si>
    <t>kPa</t>
  </si>
  <si>
    <r>
      <t>有关参数</t>
    </r>
    <r>
      <rPr>
        <b/>
        <sz val="10"/>
        <color indexed="8"/>
        <rFont val="Arial"/>
        <family val="2"/>
      </rPr>
      <t>:</t>
    </r>
  </si>
  <si>
    <t>kN/m3</t>
  </si>
  <si>
    <t>N/mm2</t>
  </si>
  <si>
    <r>
      <t>基础设计</t>
    </r>
    <r>
      <rPr>
        <b/>
        <sz val="10"/>
        <rFont val="Arial"/>
        <family val="2"/>
      </rPr>
      <t>:</t>
    </r>
  </si>
  <si>
    <t>a=</t>
  </si>
  <si>
    <t>b=</t>
  </si>
  <si>
    <t>h=</t>
  </si>
  <si>
    <t>L=</t>
  </si>
  <si>
    <t>B=</t>
  </si>
  <si>
    <t>A=</t>
  </si>
  <si>
    <t>L * B =</t>
  </si>
  <si>
    <t>=</t>
  </si>
  <si>
    <t>kN.m</t>
  </si>
  <si>
    <t>f=</t>
  </si>
  <si>
    <t xml:space="preserve">B - 3 ) + </t>
  </si>
  <si>
    <t>d - 0.5 )</t>
  </si>
  <si>
    <t>+</t>
  </si>
  <si>
    <t>G=</t>
  </si>
  <si>
    <t>Ps=</t>
  </si>
  <si>
    <t>(N+G) / A</t>
  </si>
  <si>
    <t>X:</t>
  </si>
  <si>
    <r>
      <t>地面以下</t>
    </r>
    <r>
      <rPr>
        <sz val="10"/>
        <rFont val="楷体_GB2312"/>
        <family val="3"/>
      </rPr>
      <t>:</t>
    </r>
  </si>
  <si>
    <r>
      <t>kN</t>
    </r>
    <r>
      <rPr>
        <vertAlign val="superscript"/>
        <sz val="10"/>
        <rFont val="Arial"/>
        <family val="2"/>
      </rPr>
      <t>.</t>
    </r>
    <r>
      <rPr>
        <sz val="10"/>
        <rFont val="楷体_GB2312"/>
        <family val="3"/>
      </rPr>
      <t>M</t>
    </r>
  </si>
  <si>
    <t>d+h=</t>
  </si>
  <si>
    <r>
      <t>基底保护层</t>
    </r>
    <r>
      <rPr>
        <sz val="10"/>
        <rFont val="楷体_GB2312"/>
        <family val="3"/>
      </rPr>
      <t>:</t>
    </r>
  </si>
  <si>
    <t>M</t>
  </si>
  <si>
    <r>
      <t>h</t>
    </r>
    <r>
      <rPr>
        <vertAlign val="subscript"/>
        <sz val="10"/>
        <rFont val="Symbol"/>
        <family val="1"/>
      </rPr>
      <t>1</t>
    </r>
    <r>
      <rPr>
        <sz val="10"/>
        <rFont val="Symbol"/>
        <family val="1"/>
      </rPr>
      <t>=</t>
    </r>
  </si>
  <si>
    <r>
      <t xml:space="preserve"> g</t>
    </r>
    <r>
      <rPr>
        <vertAlign val="subscript"/>
        <sz val="10"/>
        <rFont val="Symbol"/>
        <family val="1"/>
      </rPr>
      <t>1</t>
    </r>
    <r>
      <rPr>
        <sz val="10"/>
        <rFont val="Symbol"/>
        <family val="1"/>
      </rPr>
      <t>=</t>
    </r>
  </si>
  <si>
    <r>
      <t>h</t>
    </r>
    <r>
      <rPr>
        <vertAlign val="subscript"/>
        <sz val="10"/>
        <rFont val="Symbol"/>
        <family val="1"/>
      </rPr>
      <t>2</t>
    </r>
    <r>
      <rPr>
        <sz val="10"/>
        <rFont val="Symbol"/>
        <family val="1"/>
      </rPr>
      <t>=</t>
    </r>
  </si>
  <si>
    <r>
      <t xml:space="preserve"> g</t>
    </r>
    <r>
      <rPr>
        <vertAlign val="subscript"/>
        <sz val="10"/>
        <rFont val="Symbol"/>
        <family val="1"/>
      </rPr>
      <t>2</t>
    </r>
    <r>
      <rPr>
        <sz val="10"/>
        <rFont val="Symbol"/>
        <family val="1"/>
      </rPr>
      <t>=</t>
    </r>
  </si>
  <si>
    <r>
      <t>地基承载力标准值</t>
    </r>
    <r>
      <rPr>
        <sz val="10"/>
        <rFont val="楷体_GB2312"/>
        <family val="3"/>
      </rPr>
      <t>:f</t>
    </r>
    <r>
      <rPr>
        <vertAlign val="subscript"/>
        <sz val="10"/>
        <rFont val="Arial"/>
        <family val="2"/>
      </rPr>
      <t>k</t>
    </r>
    <r>
      <rPr>
        <sz val="10"/>
        <rFont val="楷体_GB2312"/>
        <family val="3"/>
      </rPr>
      <t>=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</si>
  <si>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楷体_GB2312"/>
        <family val="3"/>
      </rPr>
      <t>=</t>
    </r>
  </si>
  <si>
    <r>
      <t>一级钢筋</t>
    </r>
    <r>
      <rPr>
        <sz val="10"/>
        <rFont val="楷体_GB2312"/>
        <family val="3"/>
      </rPr>
      <t xml:space="preserve"> f</t>
    </r>
    <r>
      <rPr>
        <vertAlign val="subscript"/>
        <sz val="10"/>
        <rFont val="Arial"/>
        <family val="2"/>
      </rPr>
      <t>y</t>
    </r>
    <r>
      <rPr>
        <sz val="10"/>
        <rFont val="楷体_GB2312"/>
        <family val="3"/>
      </rPr>
      <t>=</t>
    </r>
  </si>
  <si>
    <r>
      <t xml:space="preserve">       L * B</t>
    </r>
    <r>
      <rPr>
        <vertAlign val="superscript"/>
        <sz val="10"/>
        <rFont val="Arial"/>
        <family val="2"/>
      </rPr>
      <t>2</t>
    </r>
    <r>
      <rPr>
        <sz val="10"/>
        <rFont val="楷体_GB2312"/>
        <family val="3"/>
      </rPr>
      <t xml:space="preserve"> / 6    =</t>
    </r>
  </si>
  <si>
    <r>
      <t>f</t>
    </r>
    <r>
      <rPr>
        <vertAlign val="subscript"/>
        <sz val="10"/>
        <rFont val="Arial"/>
        <family val="2"/>
      </rPr>
      <t>k</t>
    </r>
    <r>
      <rPr>
        <sz val="10"/>
        <rFont val="楷体_GB2312"/>
        <family val="3"/>
      </rPr>
      <t xml:space="preserve">  +</t>
    </r>
  </si>
  <si>
    <r>
      <t>h</t>
    </r>
    <r>
      <rPr>
        <vertAlign val="subscript"/>
        <sz val="10"/>
        <rFont val="Symbol"/>
        <family val="1"/>
      </rPr>
      <t>1</t>
    </r>
    <r>
      <rPr>
        <sz val="10"/>
        <rFont val="Symbol"/>
        <family val="1"/>
      </rPr>
      <t xml:space="preserve"> * g</t>
    </r>
    <r>
      <rPr>
        <vertAlign val="subscript"/>
        <sz val="10"/>
        <rFont val="Symbol"/>
        <family val="1"/>
      </rPr>
      <t>1</t>
    </r>
    <r>
      <rPr>
        <sz val="10"/>
        <rFont val="Symbol"/>
        <family val="1"/>
      </rPr>
      <t xml:space="preserve">   (</t>
    </r>
  </si>
  <si>
    <r>
      <t>h</t>
    </r>
    <r>
      <rPr>
        <vertAlign val="subscript"/>
        <sz val="10"/>
        <rFont val="Symbol"/>
        <family val="1"/>
      </rPr>
      <t>2</t>
    </r>
    <r>
      <rPr>
        <sz val="10"/>
        <rFont val="Symbol"/>
        <family val="1"/>
      </rPr>
      <t xml:space="preserve"> * g</t>
    </r>
    <r>
      <rPr>
        <vertAlign val="subscript"/>
        <sz val="10"/>
        <rFont val="Symbol"/>
        <family val="1"/>
      </rPr>
      <t>2</t>
    </r>
    <r>
      <rPr>
        <sz val="10"/>
        <rFont val="Symbol"/>
        <family val="1"/>
      </rPr>
      <t xml:space="preserve">   (</t>
    </r>
  </si>
  <si>
    <r>
      <t>g</t>
    </r>
    <r>
      <rPr>
        <vertAlign val="subscript"/>
        <sz val="10"/>
        <rFont val="Symbol"/>
        <family val="1"/>
      </rPr>
      <t xml:space="preserve">2 </t>
    </r>
    <r>
      <rPr>
        <sz val="10"/>
        <rFont val="Symbol"/>
        <family val="1"/>
      </rPr>
      <t xml:space="preserve">* A * </t>
    </r>
  </si>
  <si>
    <r>
      <t>P</t>
    </r>
    <r>
      <rPr>
        <vertAlign val="subscript"/>
        <sz val="10"/>
        <rFont val="Arial"/>
        <family val="2"/>
      </rPr>
      <t>smax</t>
    </r>
    <r>
      <rPr>
        <sz val="10"/>
        <rFont val="楷体_GB2312"/>
        <family val="3"/>
      </rPr>
      <t>=</t>
    </r>
  </si>
  <si>
    <r>
      <t>P</t>
    </r>
    <r>
      <rPr>
        <vertAlign val="subscript"/>
        <sz val="10"/>
        <rFont val="Arial"/>
        <family val="2"/>
      </rPr>
      <t>smin</t>
    </r>
    <r>
      <rPr>
        <sz val="10"/>
        <rFont val="楷体_GB2312"/>
        <family val="3"/>
      </rPr>
      <t>=</t>
    </r>
  </si>
  <si>
    <r>
      <t>H</t>
    </r>
    <r>
      <rPr>
        <vertAlign val="subscript"/>
        <sz val="10"/>
        <rFont val="Arial"/>
        <family val="2"/>
      </rPr>
      <t>01</t>
    </r>
    <r>
      <rPr>
        <sz val="10"/>
        <rFont val="楷体_GB2312"/>
        <family val="3"/>
      </rPr>
      <t>=</t>
    </r>
  </si>
  <si>
    <r>
      <t>h</t>
    </r>
    <r>
      <rPr>
        <vertAlign val="subscript"/>
        <sz val="10"/>
        <rFont val="Arial"/>
        <family val="2"/>
      </rPr>
      <t>01</t>
    </r>
    <r>
      <rPr>
        <sz val="10"/>
        <rFont val="楷体_GB2312"/>
        <family val="3"/>
      </rPr>
      <t>=</t>
    </r>
  </si>
  <si>
    <r>
      <t>a</t>
    </r>
    <r>
      <rPr>
        <vertAlign val="subscript"/>
        <sz val="10"/>
        <rFont val="Arial"/>
        <family val="2"/>
      </rPr>
      <t>m1</t>
    </r>
    <r>
      <rPr>
        <sz val="10"/>
        <rFont val="楷体_GB2312"/>
        <family val="3"/>
      </rPr>
      <t>=</t>
    </r>
  </si>
  <si>
    <r>
      <t>H</t>
    </r>
    <r>
      <rPr>
        <vertAlign val="subscript"/>
        <sz val="10"/>
        <rFont val="Arial"/>
        <family val="2"/>
      </rPr>
      <t>02</t>
    </r>
    <r>
      <rPr>
        <sz val="10"/>
        <rFont val="楷体_GB2312"/>
        <family val="3"/>
      </rPr>
      <t>=</t>
    </r>
  </si>
  <si>
    <r>
      <t>h</t>
    </r>
    <r>
      <rPr>
        <vertAlign val="subscript"/>
        <sz val="10"/>
        <rFont val="Arial"/>
        <family val="2"/>
      </rPr>
      <t>01</t>
    </r>
    <r>
      <rPr>
        <sz val="10"/>
        <rFont val="楷体_GB2312"/>
        <family val="3"/>
      </rPr>
      <t xml:space="preserve"> + h</t>
    </r>
    <r>
      <rPr>
        <vertAlign val="subscript"/>
        <sz val="10"/>
        <rFont val="Arial"/>
        <family val="2"/>
      </rPr>
      <t>2</t>
    </r>
    <r>
      <rPr>
        <sz val="10"/>
        <rFont val="楷体_GB2312"/>
        <family val="3"/>
      </rPr>
      <t>=</t>
    </r>
  </si>
  <si>
    <r>
      <t>a</t>
    </r>
    <r>
      <rPr>
        <vertAlign val="subscript"/>
        <sz val="10"/>
        <rFont val="Arial"/>
        <family val="2"/>
      </rPr>
      <t>m2</t>
    </r>
    <r>
      <rPr>
        <sz val="10"/>
        <rFont val="楷体_GB2312"/>
        <family val="3"/>
      </rPr>
      <t>=</t>
    </r>
  </si>
  <si>
    <r>
      <t>H</t>
    </r>
    <r>
      <rPr>
        <vertAlign val="subscript"/>
        <sz val="10"/>
        <rFont val="Arial"/>
        <family val="2"/>
      </rPr>
      <t>03</t>
    </r>
    <r>
      <rPr>
        <sz val="10"/>
        <rFont val="楷体_GB2312"/>
        <family val="3"/>
      </rPr>
      <t>=</t>
    </r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</si>
  <si>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楷体_GB2312"/>
        <family val="3"/>
      </rPr>
      <t>=</t>
    </r>
  </si>
  <si>
    <r>
      <t>a</t>
    </r>
    <r>
      <rPr>
        <vertAlign val="subscript"/>
        <sz val="10"/>
        <rFont val="Arial"/>
        <family val="2"/>
      </rPr>
      <t>m3</t>
    </r>
    <r>
      <rPr>
        <sz val="10"/>
        <rFont val="楷体_GB2312"/>
        <family val="3"/>
      </rPr>
      <t>=</t>
    </r>
  </si>
  <si>
    <r>
      <t>a + h</t>
    </r>
    <r>
      <rPr>
        <vertAlign val="subscript"/>
        <sz val="10"/>
        <rFont val="Arial"/>
        <family val="2"/>
      </rPr>
      <t>03</t>
    </r>
    <r>
      <rPr>
        <sz val="10"/>
        <rFont val="楷体_GB2312"/>
        <family val="3"/>
      </rPr>
      <t xml:space="preserve"> =</t>
    </r>
  </si>
  <si>
    <r>
      <t xml:space="preserve">  P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2"/>
      </rPr>
      <t>=</t>
    </r>
  </si>
  <si>
    <r>
      <t>P</t>
    </r>
    <r>
      <rPr>
        <vertAlign val="subscript"/>
        <sz val="10"/>
        <rFont val="Arial"/>
        <family val="2"/>
      </rPr>
      <t>s2</t>
    </r>
    <r>
      <rPr>
        <sz val="10"/>
        <rFont val="楷体_GB2312"/>
        <family val="3"/>
      </rPr>
      <t>=</t>
    </r>
  </si>
  <si>
    <r>
      <t>P</t>
    </r>
    <r>
      <rPr>
        <vertAlign val="subscript"/>
        <sz val="10"/>
        <rFont val="Arial"/>
        <family val="2"/>
      </rPr>
      <t>s3</t>
    </r>
    <r>
      <rPr>
        <sz val="10"/>
        <rFont val="楷体_GB2312"/>
        <family val="3"/>
      </rPr>
      <t>=</t>
    </r>
  </si>
  <si>
    <r>
      <t>M</t>
    </r>
    <r>
      <rPr>
        <vertAlign val="subscript"/>
        <sz val="10"/>
        <rFont val="Arial"/>
        <family val="2"/>
      </rPr>
      <t>1-1</t>
    </r>
    <r>
      <rPr>
        <sz val="10"/>
        <rFont val="楷体_GB2312"/>
        <family val="3"/>
      </rPr>
      <t>=</t>
    </r>
  </si>
  <si>
    <t>*</t>
  </si>
  <si>
    <r>
      <t>b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 xml:space="preserve">2 </t>
    </r>
  </si>
  <si>
    <r>
      <t>M</t>
    </r>
    <r>
      <rPr>
        <vertAlign val="subscript"/>
        <sz val="10"/>
        <rFont val="Arial"/>
        <family val="2"/>
      </rPr>
      <t>2-2</t>
    </r>
    <r>
      <rPr>
        <sz val="10"/>
        <rFont val="楷体_GB2312"/>
        <family val="3"/>
      </rPr>
      <t>=</t>
    </r>
  </si>
  <si>
    <r>
      <t>(b</t>
    </r>
    <r>
      <rPr>
        <vertAlign val="subscript"/>
        <sz val="10"/>
        <rFont val="Arial"/>
        <family val="2"/>
      </rPr>
      <t>1</t>
    </r>
    <r>
      <rPr>
        <sz val="10"/>
        <rFont val="楷体_GB2312"/>
        <family val="3"/>
      </rPr>
      <t>+b</t>
    </r>
    <r>
      <rPr>
        <vertAlign val="subscript"/>
        <sz val="10"/>
        <rFont val="Arial"/>
        <family val="2"/>
      </rPr>
      <t>2</t>
    </r>
    <r>
      <rPr>
        <sz val="10"/>
        <rFont val="楷体_GB2312"/>
        <family val="3"/>
      </rPr>
      <t>)</t>
    </r>
    <r>
      <rPr>
        <vertAlign val="superscript"/>
        <sz val="10"/>
        <rFont val="Arial"/>
        <family val="2"/>
      </rPr>
      <t xml:space="preserve">2 </t>
    </r>
  </si>
  <si>
    <r>
      <t>M</t>
    </r>
    <r>
      <rPr>
        <vertAlign val="subscript"/>
        <sz val="10"/>
        <rFont val="Arial"/>
        <family val="2"/>
      </rPr>
      <t>3-3</t>
    </r>
    <r>
      <rPr>
        <sz val="10"/>
        <rFont val="楷体_GB2312"/>
        <family val="3"/>
      </rPr>
      <t>=</t>
    </r>
  </si>
  <si>
    <r>
      <t>A</t>
    </r>
    <r>
      <rPr>
        <vertAlign val="subscript"/>
        <sz val="10"/>
        <rFont val="Arial"/>
        <family val="2"/>
      </rPr>
      <t>s1-1</t>
    </r>
    <r>
      <rPr>
        <sz val="10"/>
        <rFont val="楷体_GB2312"/>
        <family val="3"/>
      </rPr>
      <t>=</t>
    </r>
  </si>
  <si>
    <r>
      <t>mm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</si>
  <si>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s2-2</t>
    </r>
    <r>
      <rPr>
        <sz val="10"/>
        <rFont val="楷体_GB2312"/>
        <family val="3"/>
      </rPr>
      <t>=</t>
    </r>
  </si>
  <si>
    <r>
      <t>A</t>
    </r>
    <r>
      <rPr>
        <vertAlign val="subscript"/>
        <sz val="10"/>
        <rFont val="Arial"/>
        <family val="2"/>
      </rPr>
      <t>s3-3</t>
    </r>
    <r>
      <rPr>
        <sz val="10"/>
        <rFont val="楷体_GB2312"/>
        <family val="3"/>
      </rPr>
      <t>=</t>
    </r>
  </si>
  <si>
    <t>kPa</t>
  </si>
  <si>
    <r>
      <t>M</t>
    </r>
    <r>
      <rPr>
        <vertAlign val="subscript"/>
        <sz val="10"/>
        <rFont val="Arial"/>
        <family val="2"/>
      </rPr>
      <t>1-1</t>
    </r>
    <r>
      <rPr>
        <sz val="10"/>
        <rFont val="楷体_GB2312"/>
        <family val="3"/>
      </rPr>
      <t xml:space="preserve"> / ( 0.9h</t>
    </r>
    <r>
      <rPr>
        <vertAlign val="subscript"/>
        <sz val="10"/>
        <rFont val="Arial"/>
        <family val="2"/>
      </rPr>
      <t>01</t>
    </r>
    <r>
      <rPr>
        <sz val="10"/>
        <rFont val="楷体_GB2312"/>
        <family val="3"/>
      </rPr>
      <t xml:space="preserve"> * f</t>
    </r>
    <r>
      <rPr>
        <vertAlign val="subscript"/>
        <sz val="10"/>
        <rFont val="Arial"/>
        <family val="2"/>
      </rPr>
      <t>y</t>
    </r>
    <r>
      <rPr>
        <sz val="10"/>
        <rFont val="楷体_GB2312"/>
        <family val="3"/>
      </rPr>
      <t xml:space="preserve"> )  =</t>
    </r>
  </si>
  <si>
    <r>
      <t>M</t>
    </r>
    <r>
      <rPr>
        <vertAlign val="subscript"/>
        <sz val="10"/>
        <rFont val="Arial"/>
        <family val="2"/>
      </rPr>
      <t xml:space="preserve">2-2 </t>
    </r>
    <r>
      <rPr>
        <sz val="10"/>
        <rFont val="楷体_GB2312"/>
        <family val="3"/>
      </rPr>
      <t>/ ( 0.9h</t>
    </r>
    <r>
      <rPr>
        <vertAlign val="subscript"/>
        <sz val="10"/>
        <rFont val="Arial"/>
        <family val="2"/>
      </rPr>
      <t>02</t>
    </r>
    <r>
      <rPr>
        <sz val="10"/>
        <rFont val="楷体_GB2312"/>
        <family val="3"/>
      </rPr>
      <t xml:space="preserve"> * f</t>
    </r>
    <r>
      <rPr>
        <vertAlign val="subscript"/>
        <sz val="10"/>
        <rFont val="Arial"/>
        <family val="2"/>
      </rPr>
      <t>y</t>
    </r>
    <r>
      <rPr>
        <sz val="10"/>
        <rFont val="楷体_GB2312"/>
        <family val="3"/>
      </rPr>
      <t xml:space="preserve"> )  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</si>
  <si>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楷体_GB2312"/>
        <family val="3"/>
      </rPr>
      <t>=</t>
    </r>
  </si>
  <si>
    <r>
      <t>b</t>
    </r>
    <r>
      <rPr>
        <vertAlign val="subscript"/>
        <sz val="10"/>
        <rFont val="Arial"/>
        <family val="2"/>
      </rPr>
      <t>1</t>
    </r>
    <r>
      <rPr>
        <sz val="10"/>
        <rFont val="楷体_GB2312"/>
        <family val="3"/>
      </rPr>
      <t>=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</si>
  <si>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楷体_GB2312"/>
        <family val="3"/>
      </rPr>
      <t>=</t>
    </r>
  </si>
  <si>
    <r>
      <t>a</t>
    </r>
    <r>
      <rPr>
        <vertAlign val="subscript"/>
        <sz val="10"/>
        <rFont val="Arial"/>
        <family val="2"/>
      </rPr>
      <t>2</t>
    </r>
    <r>
      <rPr>
        <sz val="10"/>
        <rFont val="楷体_GB2312"/>
        <family val="3"/>
      </rPr>
      <t>=</t>
    </r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</si>
  <si>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楷体_GB2312"/>
        <family val="3"/>
      </rPr>
      <t>=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</si>
  <si>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楷体_GB2312"/>
        <family val="3"/>
      </rPr>
      <t>=</t>
    </r>
  </si>
  <si>
    <r>
      <t>a</t>
    </r>
    <r>
      <rPr>
        <vertAlign val="subscript"/>
        <sz val="10"/>
        <rFont val="Arial"/>
        <family val="2"/>
      </rPr>
      <t>3</t>
    </r>
    <r>
      <rPr>
        <sz val="10"/>
        <rFont val="楷体_GB2312"/>
        <family val="3"/>
      </rPr>
      <t>=</t>
    </r>
  </si>
  <si>
    <r>
      <t>b</t>
    </r>
    <r>
      <rPr>
        <vertAlign val="subscript"/>
        <sz val="10"/>
        <rFont val="Arial"/>
        <family val="2"/>
      </rPr>
      <t>3</t>
    </r>
    <r>
      <rPr>
        <sz val="10"/>
        <rFont val="楷体_GB2312"/>
        <family val="3"/>
      </rPr>
      <t>=</t>
    </r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</si>
  <si>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楷体_GB2312"/>
        <family val="3"/>
      </rPr>
      <t>=</t>
    </r>
  </si>
  <si>
    <r>
      <t>W</t>
    </r>
    <r>
      <rPr>
        <vertAlign val="subscript"/>
        <sz val="10"/>
        <rFont val="Arial"/>
        <family val="2"/>
      </rPr>
      <t>x</t>
    </r>
    <r>
      <rPr>
        <sz val="10"/>
        <rFont val="楷体_GB2312"/>
        <family val="3"/>
      </rPr>
      <t>=</t>
    </r>
  </si>
  <si>
    <r>
      <t>M</t>
    </r>
    <r>
      <rPr>
        <vertAlign val="subscript"/>
        <sz val="10"/>
        <rFont val="Arial"/>
        <family val="2"/>
      </rPr>
      <t>x</t>
    </r>
    <r>
      <rPr>
        <sz val="10"/>
        <rFont val="楷体_GB2312"/>
        <family val="3"/>
      </rPr>
      <t>=</t>
    </r>
  </si>
  <si>
    <t>1.1fk=</t>
  </si>
  <si>
    <t>kPa</t>
  </si>
  <si>
    <t>(d +h)  =</t>
  </si>
  <si>
    <t>1.2 f =</t>
  </si>
  <si>
    <t>=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</si>
  <si>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</si>
  <si>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[( P</t>
    </r>
    <r>
      <rPr>
        <vertAlign val="subscript"/>
        <sz val="10"/>
        <color indexed="8"/>
        <rFont val="Arial"/>
        <family val="2"/>
      </rPr>
      <t>smax</t>
    </r>
    <r>
      <rPr>
        <sz val="10"/>
        <color indexed="8"/>
        <rFont val="Arial"/>
        <family val="2"/>
      </rPr>
      <t xml:space="preserve"> + P</t>
    </r>
    <r>
      <rPr>
        <vertAlign val="subscript"/>
        <sz val="10"/>
        <color indexed="8"/>
        <rFont val="Arial"/>
        <family val="2"/>
      </rPr>
      <t xml:space="preserve">s1 </t>
    </r>
    <r>
      <rPr>
        <sz val="10"/>
        <color indexed="8"/>
        <rFont val="Arial"/>
        <family val="2"/>
      </rPr>
      <t>- 2G/A ) / 2]    *</t>
    </r>
  </si>
  <si>
    <r>
      <t>(3L - 2a</t>
    </r>
    <r>
      <rPr>
        <vertAlign val="subscript"/>
        <sz val="10"/>
        <rFont val="Arial"/>
        <family val="2"/>
      </rPr>
      <t>1</t>
    </r>
    <r>
      <rPr>
        <sz val="10"/>
        <rFont val="楷体_GB2312"/>
        <family val="3"/>
      </rPr>
      <t xml:space="preserve">) / 6 </t>
    </r>
  </si>
  <si>
    <r>
      <t>[( P</t>
    </r>
    <r>
      <rPr>
        <vertAlign val="subscript"/>
        <sz val="10"/>
        <color indexed="8"/>
        <rFont val="Arial"/>
        <family val="2"/>
      </rPr>
      <t>smax</t>
    </r>
    <r>
      <rPr>
        <sz val="10"/>
        <color indexed="8"/>
        <rFont val="Arial"/>
        <family val="2"/>
      </rPr>
      <t xml:space="preserve"> + P</t>
    </r>
    <r>
      <rPr>
        <vertAlign val="subscript"/>
        <sz val="10"/>
        <color indexed="8"/>
        <rFont val="Arial"/>
        <family val="2"/>
      </rPr>
      <t xml:space="preserve">s2 </t>
    </r>
    <r>
      <rPr>
        <sz val="10"/>
        <color indexed="8"/>
        <rFont val="Arial"/>
        <family val="2"/>
      </rPr>
      <t>- 2G/A ) / 2]    *</t>
    </r>
  </si>
  <si>
    <r>
      <t>[3L - 2(a</t>
    </r>
    <r>
      <rPr>
        <vertAlign val="subscript"/>
        <sz val="10"/>
        <rFont val="Arial"/>
        <family val="2"/>
      </rPr>
      <t>1</t>
    </r>
    <r>
      <rPr>
        <sz val="10"/>
        <rFont val="楷体_GB2312"/>
        <family val="3"/>
      </rPr>
      <t>+a</t>
    </r>
    <r>
      <rPr>
        <vertAlign val="subscript"/>
        <sz val="10"/>
        <rFont val="Arial"/>
        <family val="2"/>
      </rPr>
      <t>2</t>
    </r>
    <r>
      <rPr>
        <sz val="10"/>
        <rFont val="楷体_GB2312"/>
        <family val="3"/>
      </rPr>
      <t xml:space="preserve">)] / 6 </t>
    </r>
  </si>
  <si>
    <r>
      <t>[( P</t>
    </r>
    <r>
      <rPr>
        <vertAlign val="subscript"/>
        <sz val="10"/>
        <color indexed="8"/>
        <rFont val="Arial"/>
        <family val="2"/>
      </rPr>
      <t>smax</t>
    </r>
    <r>
      <rPr>
        <sz val="10"/>
        <color indexed="8"/>
        <rFont val="Arial"/>
        <family val="2"/>
      </rPr>
      <t xml:space="preserve"> + P</t>
    </r>
    <r>
      <rPr>
        <vertAlign val="subscript"/>
        <sz val="10"/>
        <color indexed="8"/>
        <rFont val="Arial"/>
        <family val="2"/>
      </rPr>
      <t xml:space="preserve">s3 </t>
    </r>
    <r>
      <rPr>
        <sz val="10"/>
        <color indexed="8"/>
        <rFont val="Arial"/>
        <family val="2"/>
      </rPr>
      <t>- 2G/A ) / 2]    *</t>
    </r>
  </si>
  <si>
    <r>
      <t xml:space="preserve"> (b</t>
    </r>
    <r>
      <rPr>
        <vertAlign val="subscript"/>
        <sz val="10"/>
        <rFont val="Arial"/>
        <family val="2"/>
      </rPr>
      <t>1</t>
    </r>
    <r>
      <rPr>
        <sz val="10"/>
        <rFont val="楷体_GB2312"/>
        <family val="3"/>
      </rPr>
      <t>+b</t>
    </r>
    <r>
      <rPr>
        <vertAlign val="subscript"/>
        <sz val="10"/>
        <rFont val="Arial"/>
        <family val="2"/>
      </rPr>
      <t>2</t>
    </r>
    <r>
      <rPr>
        <sz val="10"/>
        <rFont val="楷体_GB2312"/>
        <family val="3"/>
      </rPr>
      <t>+b</t>
    </r>
    <r>
      <rPr>
        <vertAlign val="subscript"/>
        <sz val="10"/>
        <rFont val="Arial"/>
        <family val="2"/>
      </rPr>
      <t>3</t>
    </r>
    <r>
      <rPr>
        <sz val="10"/>
        <rFont val="楷体_GB2312"/>
        <family val="3"/>
      </rPr>
      <t>)</t>
    </r>
    <r>
      <rPr>
        <vertAlign val="superscript"/>
        <sz val="10"/>
        <rFont val="Arial"/>
        <family val="2"/>
      </rPr>
      <t xml:space="preserve">2 </t>
    </r>
  </si>
  <si>
    <r>
      <t>[3L - 2(a</t>
    </r>
    <r>
      <rPr>
        <vertAlign val="subscript"/>
        <sz val="10"/>
        <rFont val="Arial"/>
        <family val="2"/>
      </rPr>
      <t>1</t>
    </r>
    <r>
      <rPr>
        <sz val="10"/>
        <rFont val="楷体_GB2312"/>
        <family val="3"/>
      </rPr>
      <t>+a</t>
    </r>
    <r>
      <rPr>
        <vertAlign val="subscript"/>
        <sz val="10"/>
        <rFont val="Arial"/>
        <family val="2"/>
      </rPr>
      <t>2</t>
    </r>
    <r>
      <rPr>
        <sz val="10"/>
        <rFont val="楷体_GB2312"/>
        <family val="3"/>
      </rPr>
      <t>+a</t>
    </r>
    <r>
      <rPr>
        <vertAlign val="subscript"/>
        <sz val="10"/>
        <rFont val="Arial"/>
        <family val="2"/>
      </rPr>
      <t>3</t>
    </r>
    <r>
      <rPr>
        <sz val="10"/>
        <rFont val="楷体_GB2312"/>
        <family val="3"/>
      </rPr>
      <t xml:space="preserve">)] / 6 </t>
    </r>
  </si>
  <si>
    <r>
      <t>M</t>
    </r>
    <r>
      <rPr>
        <vertAlign val="subscript"/>
        <sz val="10"/>
        <rFont val="Arial"/>
        <family val="2"/>
      </rPr>
      <t>3-3</t>
    </r>
    <r>
      <rPr>
        <sz val="10"/>
        <rFont val="楷体_GB2312"/>
        <family val="3"/>
      </rPr>
      <t xml:space="preserve"> / ( 0.9h</t>
    </r>
    <r>
      <rPr>
        <vertAlign val="subscript"/>
        <sz val="10"/>
        <rFont val="Arial"/>
        <family val="2"/>
      </rPr>
      <t>03</t>
    </r>
    <r>
      <rPr>
        <sz val="10"/>
        <rFont val="楷体_GB2312"/>
        <family val="3"/>
      </rPr>
      <t xml:space="preserve"> * f</t>
    </r>
    <r>
      <rPr>
        <vertAlign val="subscript"/>
        <sz val="10"/>
        <rFont val="Arial"/>
        <family val="2"/>
      </rPr>
      <t>y</t>
    </r>
    <r>
      <rPr>
        <sz val="10"/>
        <rFont val="楷体_GB2312"/>
        <family val="3"/>
      </rPr>
      <t xml:space="preserve"> )  =</t>
    </r>
  </si>
  <si>
    <r>
      <t>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</t>
    </r>
  </si>
  <si>
    <t>e=</t>
  </si>
  <si>
    <r>
      <t xml:space="preserve">  M</t>
    </r>
    <r>
      <rPr>
        <vertAlign val="subscript"/>
        <sz val="10"/>
        <rFont val="Arial"/>
        <family val="2"/>
      </rPr>
      <t>x</t>
    </r>
    <r>
      <rPr>
        <sz val="10"/>
        <rFont val="楷体_GB2312"/>
        <family val="3"/>
      </rPr>
      <t xml:space="preserve"> / ( N +G )   =</t>
    </r>
  </si>
  <si>
    <t>mm</t>
  </si>
  <si>
    <t>B / 6 =</t>
  </si>
  <si>
    <r>
      <t>且</t>
    </r>
    <r>
      <rPr>
        <sz val="10"/>
        <rFont val="楷体_GB2312"/>
        <family val="3"/>
      </rPr>
      <t>:</t>
    </r>
  </si>
  <si>
    <t>B / 4 =</t>
  </si>
  <si>
    <t xml:space="preserve">  B - 3( B/2 - e )  =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</si>
  <si>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</si>
  <si>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</si>
  <si>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 xml:space="preserve">     a + a</t>
    </r>
    <r>
      <rPr>
        <vertAlign val="subscript"/>
        <sz val="10"/>
        <rFont val="Arial"/>
        <family val="2"/>
      </rPr>
      <t>3</t>
    </r>
    <r>
      <rPr>
        <sz val="10"/>
        <rFont val="楷体_GB2312"/>
        <family val="3"/>
      </rPr>
      <t xml:space="preserve"> + H</t>
    </r>
    <r>
      <rPr>
        <vertAlign val="subscript"/>
        <sz val="10"/>
        <rFont val="Arial"/>
        <family val="2"/>
      </rPr>
      <t>02</t>
    </r>
    <r>
      <rPr>
        <sz val="10"/>
        <rFont val="楷体_GB2312"/>
        <family val="3"/>
      </rPr>
      <t xml:space="preserve"> =</t>
    </r>
  </si>
  <si>
    <r>
      <t>H</t>
    </r>
    <r>
      <rPr>
        <vertAlign val="subscript"/>
        <sz val="10"/>
        <rFont val="Arial"/>
        <family val="2"/>
      </rPr>
      <t>01</t>
    </r>
  </si>
  <si>
    <r>
      <t>H</t>
    </r>
    <r>
      <rPr>
        <vertAlign val="subscript"/>
        <sz val="10"/>
        <rFont val="Arial"/>
        <family val="2"/>
      </rPr>
      <t>02</t>
    </r>
  </si>
  <si>
    <r>
      <t>H</t>
    </r>
    <r>
      <rPr>
        <vertAlign val="subscript"/>
        <sz val="10"/>
        <rFont val="Arial"/>
        <family val="2"/>
      </rPr>
      <t>03</t>
    </r>
  </si>
  <si>
    <r>
      <t xml:space="preserve">  a + a</t>
    </r>
    <r>
      <rPr>
        <vertAlign val="subscript"/>
        <sz val="10"/>
        <rFont val="Arial"/>
        <family val="2"/>
      </rPr>
      <t>2</t>
    </r>
    <r>
      <rPr>
        <sz val="10"/>
        <rFont val="楷体_GB2312"/>
        <family val="3"/>
      </rPr>
      <t xml:space="preserve"> + a</t>
    </r>
    <r>
      <rPr>
        <vertAlign val="subscript"/>
        <sz val="10"/>
        <rFont val="Arial"/>
        <family val="2"/>
      </rPr>
      <t>3</t>
    </r>
    <r>
      <rPr>
        <sz val="10"/>
        <rFont val="楷体_GB2312"/>
        <family val="3"/>
      </rPr>
      <t xml:space="preserve"> + H</t>
    </r>
    <r>
      <rPr>
        <vertAlign val="subscript"/>
        <sz val="10"/>
        <rFont val="Arial"/>
        <family val="2"/>
      </rPr>
      <t>01</t>
    </r>
    <r>
      <rPr>
        <sz val="10"/>
        <rFont val="楷体_GB2312"/>
        <family val="3"/>
      </rPr>
      <t xml:space="preserve"> =</t>
    </r>
  </si>
  <si>
    <r>
      <t>二级钢筋</t>
    </r>
    <r>
      <rPr>
        <sz val="10"/>
        <rFont val="楷体_GB2312"/>
        <family val="3"/>
      </rPr>
      <t xml:space="preserve"> f</t>
    </r>
    <r>
      <rPr>
        <vertAlign val="subscript"/>
        <sz val="10"/>
        <rFont val="Arial"/>
        <family val="2"/>
      </rPr>
      <t>y</t>
    </r>
    <r>
      <rPr>
        <sz val="10"/>
        <rFont val="楷体_GB2312"/>
        <family val="3"/>
      </rPr>
      <t>=</t>
    </r>
  </si>
  <si>
    <t>V * h</t>
  </si>
  <si>
    <r>
      <t>M</t>
    </r>
    <r>
      <rPr>
        <vertAlign val="subscript"/>
        <sz val="10"/>
        <rFont val="Arial"/>
        <family val="2"/>
      </rPr>
      <t>X</t>
    </r>
    <r>
      <rPr>
        <sz val="10"/>
        <rFont val="楷体_GB2312"/>
        <family val="3"/>
      </rPr>
      <t>=</t>
    </r>
  </si>
  <si>
    <r>
      <t>V</t>
    </r>
    <r>
      <rPr>
        <vertAlign val="subscript"/>
        <sz val="10"/>
        <rFont val="Arial"/>
        <family val="2"/>
      </rPr>
      <t>X</t>
    </r>
    <r>
      <rPr>
        <sz val="10"/>
        <rFont val="楷体_GB2312"/>
        <family val="3"/>
      </rPr>
      <t>=</t>
    </r>
  </si>
  <si>
    <r>
      <t>则：</t>
    </r>
    <r>
      <rPr>
        <sz val="10"/>
        <rFont val="楷体_GB2312"/>
        <family val="3"/>
      </rPr>
      <t xml:space="preserve">  f=</t>
    </r>
  </si>
  <si>
    <r>
      <t xml:space="preserve">  </t>
    </r>
    <r>
      <rPr>
        <sz val="10"/>
        <rFont val="宋体"/>
        <family val="0"/>
      </rPr>
      <t>柱脚</t>
    </r>
    <r>
      <rPr>
        <sz val="10"/>
        <rFont val="楷体_GB2312"/>
        <family val="3"/>
      </rPr>
      <t>:</t>
    </r>
  </si>
  <si>
    <t xml:space="preserve">mm </t>
  </si>
  <si>
    <r>
      <t>A</t>
    </r>
    <r>
      <rPr>
        <vertAlign val="subscript"/>
        <sz val="10"/>
        <color indexed="8"/>
        <rFont val="Arial"/>
        <family val="2"/>
      </rPr>
      <t>L1</t>
    </r>
    <r>
      <rPr>
        <sz val="10"/>
        <color indexed="8"/>
        <rFont val="Arial"/>
        <family val="2"/>
      </rPr>
      <t>=</t>
    </r>
  </si>
  <si>
    <r>
      <t>F</t>
    </r>
    <r>
      <rPr>
        <vertAlign val="subscript"/>
        <sz val="10"/>
        <rFont val="Arial"/>
        <family val="2"/>
      </rPr>
      <t>L1</t>
    </r>
    <r>
      <rPr>
        <sz val="10"/>
        <rFont val="楷体_GB2312"/>
        <family val="3"/>
      </rPr>
      <t>=</t>
    </r>
  </si>
  <si>
    <r>
      <t>A</t>
    </r>
    <r>
      <rPr>
        <vertAlign val="subscript"/>
        <sz val="10"/>
        <color indexed="8"/>
        <rFont val="Arial"/>
        <family val="2"/>
      </rPr>
      <t>L2</t>
    </r>
    <r>
      <rPr>
        <sz val="10"/>
        <color indexed="8"/>
        <rFont val="Arial"/>
        <family val="2"/>
      </rPr>
      <t>=</t>
    </r>
  </si>
  <si>
    <r>
      <t>F</t>
    </r>
    <r>
      <rPr>
        <vertAlign val="subscript"/>
        <sz val="10"/>
        <rFont val="Arial"/>
        <family val="2"/>
      </rPr>
      <t>L2</t>
    </r>
    <r>
      <rPr>
        <sz val="10"/>
        <rFont val="楷体_GB2312"/>
        <family val="3"/>
      </rPr>
      <t>=</t>
    </r>
  </si>
  <si>
    <r>
      <t xml:space="preserve">    P</t>
    </r>
    <r>
      <rPr>
        <vertAlign val="subscript"/>
        <sz val="10"/>
        <color indexed="8"/>
        <rFont val="Arial"/>
        <family val="2"/>
      </rPr>
      <t>smax</t>
    </r>
    <r>
      <rPr>
        <sz val="10"/>
        <color indexed="8"/>
        <rFont val="Arial"/>
        <family val="2"/>
      </rPr>
      <t xml:space="preserve"> * A</t>
    </r>
    <r>
      <rPr>
        <vertAlign val="subscript"/>
        <sz val="10"/>
        <color indexed="8"/>
        <rFont val="Arial"/>
        <family val="2"/>
      </rPr>
      <t>L2</t>
    </r>
    <r>
      <rPr>
        <sz val="10"/>
        <color indexed="8"/>
        <rFont val="Arial"/>
        <family val="2"/>
      </rPr>
      <t xml:space="preserve">   =</t>
    </r>
  </si>
  <si>
    <r>
      <t>F</t>
    </r>
    <r>
      <rPr>
        <vertAlign val="subscript"/>
        <sz val="10"/>
        <rFont val="Arial"/>
        <family val="2"/>
      </rPr>
      <t>L2</t>
    </r>
    <r>
      <rPr>
        <sz val="10"/>
        <rFont val="楷体_GB2312"/>
        <family val="3"/>
      </rPr>
      <t xml:space="preserve"> / ( 0.6 f</t>
    </r>
    <r>
      <rPr>
        <vertAlign val="subscript"/>
        <sz val="10"/>
        <rFont val="Arial"/>
        <family val="2"/>
      </rPr>
      <t>t</t>
    </r>
    <r>
      <rPr>
        <sz val="10"/>
        <rFont val="楷体_GB2312"/>
        <family val="3"/>
      </rPr>
      <t xml:space="preserve"> * a</t>
    </r>
    <r>
      <rPr>
        <vertAlign val="subscript"/>
        <sz val="10"/>
        <rFont val="Arial"/>
        <family val="2"/>
      </rPr>
      <t>m2</t>
    </r>
    <r>
      <rPr>
        <sz val="10"/>
        <rFont val="楷体_GB2312"/>
        <family val="3"/>
      </rPr>
      <t xml:space="preserve"> ) =</t>
    </r>
  </si>
  <si>
    <r>
      <t>F</t>
    </r>
    <r>
      <rPr>
        <vertAlign val="subscript"/>
        <sz val="10"/>
        <rFont val="Arial"/>
        <family val="2"/>
      </rPr>
      <t>L1</t>
    </r>
    <r>
      <rPr>
        <sz val="10"/>
        <rFont val="楷体_GB2312"/>
        <family val="3"/>
      </rPr>
      <t xml:space="preserve"> / ( 0.6 f</t>
    </r>
    <r>
      <rPr>
        <vertAlign val="subscript"/>
        <sz val="10"/>
        <rFont val="Arial"/>
        <family val="2"/>
      </rPr>
      <t>t</t>
    </r>
    <r>
      <rPr>
        <sz val="10"/>
        <rFont val="楷体_GB2312"/>
        <family val="3"/>
      </rPr>
      <t xml:space="preserve"> * a</t>
    </r>
    <r>
      <rPr>
        <vertAlign val="subscript"/>
        <sz val="10"/>
        <rFont val="Arial"/>
        <family val="2"/>
      </rPr>
      <t>m1</t>
    </r>
    <r>
      <rPr>
        <sz val="10"/>
        <rFont val="楷体_GB2312"/>
        <family val="3"/>
      </rPr>
      <t xml:space="preserve"> ) =</t>
    </r>
  </si>
  <si>
    <r>
      <t xml:space="preserve">    P</t>
    </r>
    <r>
      <rPr>
        <vertAlign val="subscript"/>
        <sz val="10"/>
        <color indexed="8"/>
        <rFont val="Arial"/>
        <family val="2"/>
      </rPr>
      <t>smax</t>
    </r>
    <r>
      <rPr>
        <sz val="10"/>
        <color indexed="8"/>
        <rFont val="Arial"/>
        <family val="2"/>
      </rPr>
      <t xml:space="preserve"> * A</t>
    </r>
    <r>
      <rPr>
        <vertAlign val="subscript"/>
        <sz val="10"/>
        <color indexed="8"/>
        <rFont val="Arial"/>
        <family val="2"/>
      </rPr>
      <t>L1</t>
    </r>
    <r>
      <rPr>
        <sz val="10"/>
        <color indexed="8"/>
        <rFont val="Arial"/>
        <family val="2"/>
      </rPr>
      <t xml:space="preserve">   =</t>
    </r>
  </si>
  <si>
    <r>
      <t xml:space="preserve">    P</t>
    </r>
    <r>
      <rPr>
        <vertAlign val="subscript"/>
        <sz val="10"/>
        <color indexed="8"/>
        <rFont val="Arial"/>
        <family val="2"/>
      </rPr>
      <t>smax</t>
    </r>
    <r>
      <rPr>
        <sz val="10"/>
        <color indexed="8"/>
        <rFont val="Arial"/>
        <family val="2"/>
      </rPr>
      <t xml:space="preserve"> * A</t>
    </r>
    <r>
      <rPr>
        <vertAlign val="subscript"/>
        <sz val="10"/>
        <color indexed="8"/>
        <rFont val="Arial"/>
        <family val="2"/>
      </rPr>
      <t>L3</t>
    </r>
    <r>
      <rPr>
        <sz val="10"/>
        <color indexed="8"/>
        <rFont val="Arial"/>
        <family val="2"/>
      </rPr>
      <t xml:space="preserve">   =</t>
    </r>
  </si>
  <si>
    <r>
      <t>A</t>
    </r>
    <r>
      <rPr>
        <vertAlign val="subscript"/>
        <sz val="10"/>
        <color indexed="8"/>
        <rFont val="Arial"/>
        <family val="2"/>
      </rPr>
      <t>L3</t>
    </r>
    <r>
      <rPr>
        <sz val="10"/>
        <color indexed="8"/>
        <rFont val="Arial"/>
        <family val="2"/>
      </rPr>
      <t>=</t>
    </r>
  </si>
  <si>
    <r>
      <t>F</t>
    </r>
    <r>
      <rPr>
        <vertAlign val="subscript"/>
        <sz val="10"/>
        <rFont val="Arial"/>
        <family val="2"/>
      </rPr>
      <t>L3</t>
    </r>
    <r>
      <rPr>
        <sz val="10"/>
        <rFont val="楷体_GB2312"/>
        <family val="3"/>
      </rPr>
      <t xml:space="preserve"> / ( 0.6 f</t>
    </r>
    <r>
      <rPr>
        <vertAlign val="subscript"/>
        <sz val="10"/>
        <rFont val="Arial"/>
        <family val="2"/>
      </rPr>
      <t>t</t>
    </r>
    <r>
      <rPr>
        <sz val="10"/>
        <rFont val="楷体_GB2312"/>
        <family val="3"/>
      </rPr>
      <t xml:space="preserve"> * a</t>
    </r>
    <r>
      <rPr>
        <vertAlign val="subscript"/>
        <sz val="10"/>
        <rFont val="Arial"/>
        <family val="2"/>
      </rPr>
      <t>m3</t>
    </r>
    <r>
      <rPr>
        <sz val="10"/>
        <rFont val="楷体_GB2312"/>
        <family val="3"/>
      </rPr>
      <t xml:space="preserve"> ) =</t>
    </r>
  </si>
  <si>
    <r>
      <t>mm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(</t>
    </r>
    <r>
      <rPr>
        <sz val="10"/>
        <rFont val="宋体"/>
        <family val="0"/>
      </rPr>
      <t>二级钢筋</t>
    </r>
    <r>
      <rPr>
        <sz val="10"/>
        <rFont val="楷体_GB2312"/>
        <family val="3"/>
      </rPr>
      <t>)</t>
    </r>
  </si>
  <si>
    <t>=</t>
  </si>
  <si>
    <r>
      <t>A</t>
    </r>
    <r>
      <rPr>
        <vertAlign val="subscript"/>
        <sz val="10"/>
        <rFont val="Arial"/>
        <family val="2"/>
      </rPr>
      <t>smax</t>
    </r>
  </si>
  <si>
    <r>
      <t>A</t>
    </r>
    <r>
      <rPr>
        <vertAlign val="subscript"/>
        <sz val="10"/>
        <rFont val="Arial"/>
        <family val="2"/>
      </rPr>
      <t>s</t>
    </r>
    <r>
      <rPr>
        <vertAlign val="subscript"/>
        <sz val="10"/>
        <rFont val="宋体"/>
        <family val="0"/>
      </rPr>
      <t>实际</t>
    </r>
  </si>
  <si>
    <r>
      <t>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一级钢筋</t>
    </r>
    <r>
      <rPr>
        <sz val="10"/>
        <rFont val="Arial"/>
        <family val="2"/>
      </rPr>
      <t xml:space="preserve">) </t>
    </r>
    <r>
      <rPr>
        <sz val="10"/>
        <rFont val="楷体_GB2312"/>
        <family val="3"/>
      </rPr>
      <t xml:space="preserve"> or</t>
    </r>
  </si>
  <si>
    <t>钢筋混凝土柱基础设计</t>
  </si>
  <si>
    <r>
      <t>基底压力验算</t>
    </r>
    <r>
      <rPr>
        <sz val="10"/>
        <rFont val="Times New Roman"/>
        <family val="1"/>
      </rPr>
      <t>:</t>
    </r>
  </si>
  <si>
    <r>
      <t>冲切验算</t>
    </r>
    <r>
      <rPr>
        <sz val="10"/>
        <rFont val="Times New Roman"/>
        <family val="1"/>
      </rPr>
      <t>:</t>
    </r>
  </si>
  <si>
    <r>
      <t>板底配筋</t>
    </r>
    <r>
      <rPr>
        <sz val="10"/>
        <rFont val="Times New Roman"/>
        <family val="1"/>
      </rPr>
      <t>:</t>
    </r>
  </si>
  <si>
    <r>
      <t>剪切验算</t>
    </r>
    <r>
      <rPr>
        <b/>
        <sz val="10"/>
        <rFont val="Times New Roman"/>
        <family val="1"/>
      </rPr>
      <t>:</t>
    </r>
  </si>
  <si>
    <t>V=</t>
  </si>
  <si>
    <r>
      <t>(P</t>
    </r>
    <r>
      <rPr>
        <vertAlign val="subscript"/>
        <sz val="10"/>
        <rFont val="楷体_GB2312"/>
        <family val="3"/>
      </rPr>
      <t>nmax</t>
    </r>
    <r>
      <rPr>
        <sz val="10"/>
        <rFont val="楷体_GB2312"/>
        <family val="3"/>
      </rPr>
      <t>+P</t>
    </r>
    <r>
      <rPr>
        <vertAlign val="subscript"/>
        <sz val="10"/>
        <rFont val="楷体_GB2312"/>
        <family val="3"/>
      </rPr>
      <t>s1</t>
    </r>
    <r>
      <rPr>
        <sz val="10"/>
        <rFont val="楷体_GB2312"/>
        <family val="3"/>
      </rPr>
      <t>)*(b</t>
    </r>
    <r>
      <rPr>
        <vertAlign val="subscript"/>
        <sz val="10"/>
        <rFont val="楷体_GB2312"/>
        <family val="3"/>
      </rPr>
      <t>1</t>
    </r>
    <r>
      <rPr>
        <sz val="10"/>
        <rFont val="楷体_GB2312"/>
        <family val="3"/>
      </rPr>
      <t>-h</t>
    </r>
    <r>
      <rPr>
        <vertAlign val="subscript"/>
        <sz val="10"/>
        <rFont val="楷体_GB2312"/>
        <family val="3"/>
      </rPr>
      <t>01</t>
    </r>
    <r>
      <rPr>
        <sz val="10"/>
        <rFont val="楷体_GB2312"/>
        <family val="3"/>
      </rPr>
      <t>)*b/2=</t>
    </r>
  </si>
  <si>
    <r>
      <t>0.07f</t>
    </r>
    <r>
      <rPr>
        <vertAlign val="subscript"/>
        <sz val="10"/>
        <rFont val="楷体_GB2312"/>
        <family val="3"/>
      </rPr>
      <t>c</t>
    </r>
    <r>
      <rPr>
        <sz val="10"/>
        <rFont val="楷体_GB2312"/>
        <family val="3"/>
      </rPr>
      <t>bh</t>
    </r>
    <r>
      <rPr>
        <vertAlign val="subscript"/>
        <sz val="10"/>
        <rFont val="楷体_GB2312"/>
        <family val="3"/>
      </rPr>
      <t>01</t>
    </r>
    <r>
      <rPr>
        <sz val="10"/>
        <rFont val="楷体_GB2312"/>
        <family val="3"/>
      </rPr>
      <t>=</t>
    </r>
  </si>
  <si>
    <t>fc=</t>
  </si>
  <si>
    <t>V&lt;</t>
  </si>
  <si>
    <r>
      <t>0.07f</t>
    </r>
    <r>
      <rPr>
        <vertAlign val="subscript"/>
        <sz val="10"/>
        <rFont val="楷体_GB2312"/>
        <family val="3"/>
      </rPr>
      <t>c</t>
    </r>
    <r>
      <rPr>
        <sz val="10"/>
        <rFont val="楷体_GB2312"/>
        <family val="3"/>
      </rPr>
      <t>bh</t>
    </r>
    <r>
      <rPr>
        <vertAlign val="subscript"/>
        <sz val="10"/>
        <rFont val="楷体_GB2312"/>
        <family val="3"/>
      </rPr>
      <t>01</t>
    </r>
  </si>
  <si>
    <t>1000X1000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</si>
</sst>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&quot;￥&quot;;\-#,##0&quot;￥&quot;"/>
    <numFmt numFmtId="185" formatCode="#,##0&quot;￥&quot;;[Red]\-#,##0&quot;￥&quot;"/>
    <numFmt numFmtId="186" formatCode="#,##0.00&quot;￥&quot;;\-#,##0.00&quot;￥&quot;"/>
    <numFmt numFmtId="187" formatCode="#,##0.00&quot;￥&quot;;[Red]\-#,##0.00&quot;￥&quot;"/>
    <numFmt numFmtId="188" formatCode="_-* #,##0&quot;￥&quot;_-;\-* #,##0&quot;￥&quot;_-;_-* &quot;-&quot;&quot;￥&quot;_-;_-@_-"/>
    <numFmt numFmtId="189" formatCode="_-* #,##0.00&quot;￥&quot;_-;\-* #,##0.00&quot;￥&quot;_-;_-* &quot;-&quot;??&quot;￥&quot;_-;_-@_-"/>
    <numFmt numFmtId="190" formatCode="&quot;￥&quot;#,##0_);\(&quot;￥&quot;#,##0\)"/>
    <numFmt numFmtId="191" formatCode="&quot;￥&quot;#,##0_);[Red]\(&quot;￥&quot;#,##0\)"/>
    <numFmt numFmtId="192" formatCode="&quot;￥&quot;#,##0.00_);\(&quot;￥&quot;#,##0.00\)"/>
    <numFmt numFmtId="193" formatCode="&quot;￥&quot;#,##0.00_);[Red]\(&quot;￥&quot;#,##0.00\)"/>
    <numFmt numFmtId="194" formatCode="_(&quot;￥&quot;* #,##0_);_(&quot;￥&quot;* \(#,##0\);_(&quot;￥&quot;* &quot;-&quot;_);_(@_)"/>
    <numFmt numFmtId="195" formatCode="_(* #,##0_);_(* \(#,##0\);_(* &quot;-&quot;_);_(@_)"/>
    <numFmt numFmtId="196" formatCode="_(&quot;￥&quot;* #,##0.00_);_(&quot;￥&quot;* \(#,##0.00\);_(&quot;￥&quot;* &quot;-&quot;??_);_(@_)"/>
    <numFmt numFmtId="197" formatCode="_(* #,##0.00_);_(* \(#,##0.00\);_(* &quot;-&quot;??_);_(@_)"/>
    <numFmt numFmtId="198" formatCode="0.0"/>
    <numFmt numFmtId="199" formatCode="0.00000"/>
    <numFmt numFmtId="200" formatCode="0.0000"/>
    <numFmt numFmtId="201" formatCode="0.000"/>
    <numFmt numFmtId="202" formatCode="0.000000"/>
    <numFmt numFmtId="203" formatCode="0.00_);[Red]\(0.00\)"/>
    <numFmt numFmtId="204" formatCode="0.0000000"/>
    <numFmt numFmtId="205" formatCode="0.00000000"/>
    <numFmt numFmtId="206" formatCode="0.0_);[Red]\(0.0\)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0.000_ "/>
    <numFmt numFmtId="214" formatCode="0_ "/>
    <numFmt numFmtId="215" formatCode="0.0_ "/>
    <numFmt numFmtId="216" formatCode="0.0000_ "/>
    <numFmt numFmtId="217" formatCode="0.00_ "/>
  </numFmts>
  <fonts count="40">
    <font>
      <sz val="10"/>
      <name val="楷体_GB2312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@宋体"/>
      <family val="0"/>
    </font>
    <font>
      <sz val="10"/>
      <name val="@宋体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10"/>
      <color indexed="14"/>
      <name val="Arial"/>
      <family val="2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vertAlign val="subscript"/>
      <sz val="10"/>
      <name val="宋体"/>
      <family val="0"/>
    </font>
    <font>
      <vertAlign val="subscript"/>
      <sz val="10"/>
      <name val="Symbol"/>
      <family val="1"/>
    </font>
    <font>
      <vertAlign val="subscript"/>
      <sz val="10"/>
      <name val="Arial"/>
      <family val="2"/>
    </font>
    <font>
      <sz val="10"/>
      <color indexed="4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name val="MS Sans Serif"/>
      <family val="2"/>
    </font>
    <font>
      <sz val="8"/>
      <name val="仿宋体"/>
      <family val="0"/>
    </font>
    <font>
      <sz val="14"/>
      <name val="黑体"/>
      <family val="0"/>
    </font>
    <font>
      <sz val="8"/>
      <name val="宋体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楷体_GB2312"/>
      <family val="3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7">
    <border>
      <left/>
      <right/>
      <top/>
      <bottom/>
      <diagonal/>
    </border>
    <border>
      <left style="medium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/>
      <protection/>
    </xf>
    <xf numFmtId="0" fontId="32" fillId="2" borderId="1" applyNumberFormat="0" applyFont="0" applyBorder="0" applyAlignment="0" applyProtection="0"/>
    <xf numFmtId="0" fontId="35" fillId="0" borderId="2">
      <alignment horizontal="left"/>
      <protection/>
    </xf>
    <xf numFmtId="0" fontId="34" fillId="0" borderId="0" applyNumberFormat="0" applyFill="0" applyBorder="0" applyAlignment="0" applyProtection="0"/>
    <xf numFmtId="0" fontId="32" fillId="0" borderId="3" applyNumberFormat="0" applyFill="0" applyBorder="0" applyAlignment="0" applyProtection="0"/>
    <xf numFmtId="0" fontId="34" fillId="0" borderId="3" applyNumberFormat="0" applyFill="0" applyBorder="0" applyAlignment="0" applyProtection="0"/>
    <xf numFmtId="0" fontId="33" fillId="0" borderId="4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98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3" borderId="5" xfId="0" applyFill="1" applyBorder="1" applyAlignment="1">
      <alignment/>
    </xf>
    <xf numFmtId="0" fontId="5" fillId="3" borderId="5" xfId="0" applyFont="1" applyFill="1" applyBorder="1" applyAlignment="1">
      <alignment horizontal="center"/>
    </xf>
    <xf numFmtId="20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198" fontId="0" fillId="0" borderId="0" xfId="0" applyNumberFormat="1" applyAlignment="1">
      <alignment horizontal="center"/>
    </xf>
    <xf numFmtId="1" fontId="11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3" borderId="6" xfId="0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5" fillId="3" borderId="6" xfId="0" applyFont="1" applyFill="1" applyBorder="1" applyAlignment="1">
      <alignment horizontal="center"/>
    </xf>
    <xf numFmtId="20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98" fontId="11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17" fillId="0" borderId="0" xfId="0" applyNumberFormat="1" applyFont="1" applyAlignment="1">
      <alignment horizontal="center"/>
    </xf>
    <xf numFmtId="0" fontId="16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 hidden="1" locked="0"/>
    </xf>
    <xf numFmtId="0" fontId="17" fillId="0" borderId="0" xfId="0" applyFont="1" applyAlignment="1" applyProtection="1">
      <alignment horizontal="right"/>
      <protection hidden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1" fontId="27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29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 locked="0"/>
    </xf>
    <xf numFmtId="1" fontId="11" fillId="0" borderId="0" xfId="0" applyNumberFormat="1" applyFont="1" applyAlignment="1" applyProtection="1">
      <alignment horizontal="center"/>
      <protection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15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00" fontId="0" fillId="0" borderId="0" xfId="0" applyNumberFormat="1" applyAlignment="1">
      <alignment horizontal="center"/>
    </xf>
    <xf numFmtId="0" fontId="3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2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>
      <alignment horizontal="center"/>
    </xf>
  </cellXfs>
  <cellStyles count="20">
    <cellStyle name="Normal" xfId="0"/>
    <cellStyle name="Comma_1001_01.XLS" xfId="15"/>
    <cellStyle name="Currency [0]_1001_01.XLS" xfId="16"/>
    <cellStyle name="Currency_1001_01.XLS" xfId="17"/>
    <cellStyle name="fs" xfId="18"/>
    <cellStyle name="ht" xfId="19"/>
    <cellStyle name="mystyle" xfId="20"/>
    <cellStyle name="Normal_1001_01.XLS" xfId="21"/>
    <cellStyle name="shade" xfId="22"/>
    <cellStyle name="shi" xfId="23"/>
    <cellStyle name="st" xfId="24"/>
    <cellStyle name="style1" xfId="25"/>
    <cellStyle name="style2" xfId="26"/>
    <cellStyle name="style3" xfId="27"/>
    <cellStyle name="Percent" xfId="28"/>
    <cellStyle name="Currency" xfId="29"/>
    <cellStyle name="Currency [0]" xfId="30"/>
    <cellStyle name="普通_主菜单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533400</xdr:rowOff>
    </xdr:from>
    <xdr:to>
      <xdr:col>4</xdr:col>
      <xdr:colOff>9525</xdr:colOff>
      <xdr:row>1</xdr:row>
      <xdr:rowOff>533400</xdr:rowOff>
    </xdr:to>
    <xdr:sp>
      <xdr:nvSpPr>
        <xdr:cNvPr id="1" name="Oval 4"/>
        <xdr:cNvSpPr>
          <a:spLocks/>
        </xdr:cNvSpPr>
      </xdr:nvSpPr>
      <xdr:spPr>
        <a:xfrm>
          <a:off x="2447925" y="714375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楷体_GB2312"/>
              <a:ea typeface="楷体_GB2312"/>
              <a:cs typeface="楷体_GB2312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533400</xdr:rowOff>
    </xdr:from>
    <xdr:to>
      <xdr:col>15</xdr:col>
      <xdr:colOff>9525</xdr:colOff>
      <xdr:row>1</xdr:row>
      <xdr:rowOff>533400</xdr:rowOff>
    </xdr:to>
    <xdr:sp>
      <xdr:nvSpPr>
        <xdr:cNvPr id="2" name="Oval 24"/>
        <xdr:cNvSpPr>
          <a:spLocks/>
        </xdr:cNvSpPr>
      </xdr:nvSpPr>
      <xdr:spPr>
        <a:xfrm>
          <a:off x="9020175" y="714375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楷体_GB2312"/>
              <a:ea typeface="楷体_GB2312"/>
              <a:cs typeface="楷体_GB2312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533400</xdr:rowOff>
    </xdr:from>
    <xdr:to>
      <xdr:col>14</xdr:col>
      <xdr:colOff>9525</xdr:colOff>
      <xdr:row>1</xdr:row>
      <xdr:rowOff>533400</xdr:rowOff>
    </xdr:to>
    <xdr:sp>
      <xdr:nvSpPr>
        <xdr:cNvPr id="3" name="Oval 27"/>
        <xdr:cNvSpPr>
          <a:spLocks/>
        </xdr:cNvSpPr>
      </xdr:nvSpPr>
      <xdr:spPr>
        <a:xfrm>
          <a:off x="8410575" y="714375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楷体_GB2312"/>
              <a:ea typeface="楷体_GB2312"/>
              <a:cs typeface="楷体_GB2312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showGridLines="0" tabSelected="1" workbookViewId="0" topLeftCell="A1">
      <selection activeCell="K2" sqref="K2"/>
    </sheetView>
  </sheetViews>
  <sheetFormatPr defaultColWidth="9.140625" defaultRowHeight="12"/>
  <cols>
    <col min="2" max="2" width="9.00390625" style="0" customWidth="1"/>
    <col min="3" max="3" width="9.421875" style="0" customWidth="1"/>
    <col min="6" max="6" width="10.28125" style="0" bestFit="1" customWidth="1"/>
    <col min="7" max="7" width="8.140625" style="0" customWidth="1"/>
    <col min="10" max="10" width="7.00390625" style="0" customWidth="1"/>
    <col min="20" max="20" width="5.57421875" style="0" customWidth="1"/>
  </cols>
  <sheetData>
    <row r="1" spans="1:21" s="15" customFormat="1" ht="14.25">
      <c r="A1" s="23"/>
      <c r="B1" s="23"/>
      <c r="C1" s="23"/>
      <c r="D1" s="23"/>
      <c r="E1" s="32" t="s">
        <v>140</v>
      </c>
      <c r="F1" s="23"/>
      <c r="G1" s="23"/>
      <c r="K1" s="72"/>
      <c r="L1" s="72"/>
      <c r="M1" s="72"/>
      <c r="N1" s="72"/>
      <c r="O1" s="73"/>
      <c r="P1" s="72"/>
      <c r="Q1" s="72"/>
      <c r="R1" s="72"/>
      <c r="S1" s="72"/>
      <c r="T1" s="72"/>
      <c r="U1" s="72"/>
    </row>
    <row r="2" spans="5:21" s="15" customFormat="1" ht="234" customHeight="1">
      <c r="E2" s="16"/>
      <c r="K2" s="71"/>
      <c r="L2" s="71"/>
      <c r="M2" s="71"/>
      <c r="N2" s="71"/>
      <c r="O2" s="74"/>
      <c r="P2" s="71"/>
      <c r="Q2" s="71"/>
      <c r="R2" s="71"/>
      <c r="S2" s="71"/>
      <c r="T2" s="71"/>
      <c r="U2" s="71"/>
    </row>
    <row r="3" spans="1:18" ht="12.75">
      <c r="A3" s="46" t="s">
        <v>0</v>
      </c>
      <c r="B3" s="47">
        <v>1</v>
      </c>
      <c r="C3" s="55" t="s">
        <v>32</v>
      </c>
      <c r="D3" s="1" t="s">
        <v>8</v>
      </c>
      <c r="E3" s="65">
        <v>2</v>
      </c>
      <c r="F3" t="s">
        <v>9</v>
      </c>
      <c r="H3" s="1"/>
      <c r="K3" s="25"/>
      <c r="L3" s="5"/>
      <c r="M3" s="26"/>
      <c r="N3" s="1"/>
      <c r="O3" s="11"/>
      <c r="R3" s="1"/>
    </row>
    <row r="4" spans="1:18" ht="12.75">
      <c r="A4" s="49"/>
      <c r="B4" s="50">
        <v>2</v>
      </c>
      <c r="C4" s="52" t="s">
        <v>122</v>
      </c>
      <c r="D4" s="8" t="s">
        <v>151</v>
      </c>
      <c r="K4" s="4"/>
      <c r="L4" s="6"/>
      <c r="M4" s="27"/>
      <c r="N4" s="11"/>
      <c r="R4" s="1"/>
    </row>
    <row r="5" spans="1:14" ht="12.75">
      <c r="A5" s="49"/>
      <c r="B5" s="50"/>
      <c r="C5" s="53" t="s">
        <v>1</v>
      </c>
      <c r="D5" s="8" t="s">
        <v>2</v>
      </c>
      <c r="L5" s="6"/>
      <c r="M5" s="28"/>
      <c r="N5" s="11"/>
    </row>
    <row r="6" spans="1:18" ht="12.75">
      <c r="A6" s="49"/>
      <c r="B6" s="50">
        <v>3</v>
      </c>
      <c r="C6" s="54" t="s">
        <v>4</v>
      </c>
      <c r="D6" s="1" t="s">
        <v>5</v>
      </c>
      <c r="E6" s="79">
        <v>1847.4</v>
      </c>
      <c r="F6" t="s">
        <v>6</v>
      </c>
      <c r="G6" s="34"/>
      <c r="L6" s="6"/>
      <c r="M6" s="26"/>
      <c r="N6" s="1"/>
      <c r="O6" s="12"/>
      <c r="Q6" s="34"/>
      <c r="R6" s="34"/>
    </row>
    <row r="7" spans="1:17" ht="15.75">
      <c r="A7" s="49"/>
      <c r="B7" s="49"/>
      <c r="C7" s="49"/>
      <c r="D7" s="1" t="s">
        <v>119</v>
      </c>
      <c r="E7" s="80">
        <v>777.43</v>
      </c>
      <c r="F7" t="s">
        <v>33</v>
      </c>
      <c r="N7" s="1"/>
      <c r="O7" s="12"/>
      <c r="Q7" s="34"/>
    </row>
    <row r="8" spans="1:15" ht="15.75">
      <c r="A8" s="49"/>
      <c r="B8" s="49"/>
      <c r="C8" s="49"/>
      <c r="D8" s="1" t="s">
        <v>120</v>
      </c>
      <c r="E8" s="80">
        <v>113.39</v>
      </c>
      <c r="F8" t="s">
        <v>6</v>
      </c>
      <c r="N8" s="1"/>
      <c r="O8" s="12"/>
    </row>
    <row r="9" spans="1:15" ht="12.75">
      <c r="A9" s="49"/>
      <c r="B9" s="50">
        <v>4</v>
      </c>
      <c r="C9" s="51" t="s">
        <v>7</v>
      </c>
      <c r="D9" s="1" t="s">
        <v>34</v>
      </c>
      <c r="E9" s="22">
        <f>E3+I19/1000</f>
        <v>3</v>
      </c>
      <c r="F9" t="s">
        <v>9</v>
      </c>
      <c r="L9" s="6"/>
      <c r="M9" s="26"/>
      <c r="N9" s="1"/>
      <c r="O9" s="11"/>
    </row>
    <row r="10" spans="1:15" ht="15.75">
      <c r="A10" s="49"/>
      <c r="B10" s="50">
        <v>5</v>
      </c>
      <c r="C10" s="48" t="s">
        <v>41</v>
      </c>
      <c r="D10" s="1"/>
      <c r="E10" s="14">
        <v>300</v>
      </c>
      <c r="F10" t="s">
        <v>10</v>
      </c>
      <c r="L10" s="6"/>
      <c r="M10" s="26"/>
      <c r="N10" s="1"/>
      <c r="O10" s="11"/>
    </row>
    <row r="11" spans="1:15" ht="12.75">
      <c r="A11" s="49"/>
      <c r="B11" s="50">
        <v>6</v>
      </c>
      <c r="C11" s="48" t="s">
        <v>35</v>
      </c>
      <c r="D11" s="1"/>
      <c r="E11" s="14">
        <v>50</v>
      </c>
      <c r="F11" t="s">
        <v>3</v>
      </c>
      <c r="L11" s="6"/>
      <c r="M11" s="26"/>
      <c r="N11" s="1"/>
      <c r="O11" s="10"/>
    </row>
    <row r="13" spans="1:16" ht="14.25">
      <c r="A13" s="25" t="s">
        <v>11</v>
      </c>
      <c r="B13" s="9" t="s">
        <v>37</v>
      </c>
      <c r="C13" s="10">
        <v>0</v>
      </c>
      <c r="E13" s="9" t="s">
        <v>39</v>
      </c>
      <c r="F13" s="10">
        <v>0</v>
      </c>
      <c r="K13" s="25"/>
      <c r="L13" s="9"/>
      <c r="M13" s="11"/>
      <c r="O13" s="9"/>
      <c r="P13" s="11"/>
    </row>
    <row r="14" spans="1:16" ht="14.25">
      <c r="A14" s="4"/>
      <c r="B14" s="9" t="s">
        <v>38</v>
      </c>
      <c r="C14" s="2">
        <v>18</v>
      </c>
      <c r="D14" t="s">
        <v>12</v>
      </c>
      <c r="E14" s="9" t="s">
        <v>40</v>
      </c>
      <c r="F14" s="2">
        <v>20</v>
      </c>
      <c r="G14" t="s">
        <v>12</v>
      </c>
      <c r="K14" s="4"/>
      <c r="L14" s="9"/>
      <c r="M14" s="11"/>
      <c r="O14" s="9"/>
      <c r="P14" s="11"/>
    </row>
    <row r="15" spans="1:13" ht="15.75">
      <c r="A15" s="4"/>
      <c r="B15" s="1" t="s">
        <v>42</v>
      </c>
      <c r="C15" s="12">
        <f>IF(D5="C7.5",0.55,(IF(D5="C10",0.65,(IF(D5="C15",0.9,(IF(D5="C20",1.1,(IF(D5="C25",1.3,"Error")))))))))</f>
        <v>1.1</v>
      </c>
      <c r="D15" t="s">
        <v>13</v>
      </c>
      <c r="E15" s="1" t="s">
        <v>148</v>
      </c>
      <c r="F15" s="2">
        <f>IF(D5="C7.5",3.7,(IF(D5="C10",5,(IF(D5="C15",7.5,(IF(D5="C20",10,(IF(D5="C25",12.5,"Error")))))))))</f>
        <v>10</v>
      </c>
      <c r="G15" t="s">
        <v>13</v>
      </c>
      <c r="K15" s="4"/>
      <c r="L15" s="1"/>
      <c r="M15" s="11"/>
    </row>
    <row r="16" spans="1:13" ht="15.75">
      <c r="A16" s="4"/>
      <c r="B16" s="29" t="s">
        <v>43</v>
      </c>
      <c r="C16" s="66">
        <v>210</v>
      </c>
      <c r="D16" t="s">
        <v>13</v>
      </c>
      <c r="K16" s="4"/>
      <c r="L16" s="29"/>
      <c r="M16" s="11"/>
    </row>
    <row r="17" spans="1:13" ht="15.75">
      <c r="A17" s="4"/>
      <c r="B17" s="29" t="s">
        <v>117</v>
      </c>
      <c r="C17" s="67">
        <v>310</v>
      </c>
      <c r="D17" t="s">
        <v>13</v>
      </c>
      <c r="K17" s="4"/>
      <c r="L17" s="29"/>
      <c r="M17" s="21"/>
    </row>
    <row r="19" spans="1:19" ht="12.75">
      <c r="A19" s="30" t="s">
        <v>14</v>
      </c>
      <c r="B19" s="1" t="s">
        <v>15</v>
      </c>
      <c r="C19" s="60">
        <v>1000</v>
      </c>
      <c r="D19" t="s">
        <v>3</v>
      </c>
      <c r="E19" s="1" t="s">
        <v>16</v>
      </c>
      <c r="F19" s="60">
        <v>1000</v>
      </c>
      <c r="G19" t="s">
        <v>3</v>
      </c>
      <c r="H19" s="1" t="s">
        <v>17</v>
      </c>
      <c r="I19" s="64">
        <f>I20+I21+I22</f>
        <v>1000</v>
      </c>
      <c r="J19" t="s">
        <v>3</v>
      </c>
      <c r="K19" s="30"/>
      <c r="L19" s="1"/>
      <c r="M19" s="11"/>
      <c r="O19" s="1"/>
      <c r="P19" s="11"/>
      <c r="R19" s="1"/>
      <c r="S19" s="21"/>
    </row>
    <row r="20" spans="2:19" ht="15.75">
      <c r="B20" s="1" t="s">
        <v>77</v>
      </c>
      <c r="C20" s="61">
        <v>600</v>
      </c>
      <c r="D20" t="s">
        <v>3</v>
      </c>
      <c r="E20" s="1" t="s">
        <v>78</v>
      </c>
      <c r="F20" s="63">
        <v>600</v>
      </c>
      <c r="G20" t="s">
        <v>3</v>
      </c>
      <c r="H20" s="1" t="s">
        <v>79</v>
      </c>
      <c r="I20" s="64">
        <v>400</v>
      </c>
      <c r="J20" t="s">
        <v>3</v>
      </c>
      <c r="L20" s="1"/>
      <c r="M20" s="2"/>
      <c r="O20" s="1"/>
      <c r="P20" s="11"/>
      <c r="R20" s="1"/>
      <c r="S20" s="21"/>
    </row>
    <row r="21" spans="2:19" ht="15.75">
      <c r="B21" s="1" t="s">
        <v>80</v>
      </c>
      <c r="C21" s="61">
        <v>500</v>
      </c>
      <c r="D21" t="s">
        <v>3</v>
      </c>
      <c r="E21" s="1" t="s">
        <v>81</v>
      </c>
      <c r="F21" s="63">
        <v>500</v>
      </c>
      <c r="G21" t="s">
        <v>3</v>
      </c>
      <c r="H21" s="1" t="s">
        <v>82</v>
      </c>
      <c r="I21" s="60">
        <v>300</v>
      </c>
      <c r="J21" t="s">
        <v>3</v>
      </c>
      <c r="L21" s="1"/>
      <c r="M21" s="11"/>
      <c r="O21" s="1"/>
      <c r="P21" s="11"/>
      <c r="R21" s="1"/>
      <c r="S21" s="21"/>
    </row>
    <row r="22" spans="2:19" ht="15.75">
      <c r="B22" s="1" t="s">
        <v>83</v>
      </c>
      <c r="C22" s="61">
        <v>400</v>
      </c>
      <c r="D22" t="s">
        <v>3</v>
      </c>
      <c r="E22" s="1" t="s">
        <v>84</v>
      </c>
      <c r="F22" s="63">
        <v>400</v>
      </c>
      <c r="G22" t="s">
        <v>3</v>
      </c>
      <c r="H22" s="1" t="s">
        <v>85</v>
      </c>
      <c r="I22" s="60">
        <v>300</v>
      </c>
      <c r="J22" t="s">
        <v>3</v>
      </c>
      <c r="L22" s="1"/>
      <c r="M22" s="2"/>
      <c r="O22" s="1"/>
      <c r="P22" s="11"/>
      <c r="R22" s="1"/>
      <c r="S22" s="21"/>
    </row>
    <row r="23" spans="2:16" ht="12.75">
      <c r="B23" s="1" t="s">
        <v>18</v>
      </c>
      <c r="C23" s="62">
        <f>(C19/2+C20+C21+C22)*2</f>
        <v>4000</v>
      </c>
      <c r="D23" t="s">
        <v>3</v>
      </c>
      <c r="E23" s="1" t="s">
        <v>19</v>
      </c>
      <c r="F23" s="62">
        <f>(F19/2+F20+F21+F22)*2</f>
        <v>4000</v>
      </c>
      <c r="G23" t="s">
        <v>123</v>
      </c>
      <c r="L23" s="1"/>
      <c r="M23" s="11"/>
      <c r="O23" s="1"/>
      <c r="P23" s="11"/>
    </row>
    <row r="25" spans="2:14" ht="14.25">
      <c r="B25" s="1" t="s">
        <v>20</v>
      </c>
      <c r="C25" s="2" t="s">
        <v>21</v>
      </c>
      <c r="D25" s="2">
        <f>C23*F23/1000000</f>
        <v>16</v>
      </c>
      <c r="E25" t="s">
        <v>110</v>
      </c>
      <c r="H25" s="34"/>
      <c r="L25" s="1"/>
      <c r="M25" s="2"/>
      <c r="N25" s="2"/>
    </row>
    <row r="26" spans="2:15" ht="15.75">
      <c r="B26" s="1" t="s">
        <v>86</v>
      </c>
      <c r="C26" t="s">
        <v>44</v>
      </c>
      <c r="E26" s="17">
        <f>F23^2*C23/6/1000000000</f>
        <v>10.666666666666666</v>
      </c>
      <c r="F26" t="s">
        <v>111</v>
      </c>
      <c r="L26" s="1"/>
      <c r="O26" s="17"/>
    </row>
    <row r="27" spans="2:15" ht="15.75">
      <c r="B27" s="1" t="s">
        <v>87</v>
      </c>
      <c r="C27" s="11" t="s">
        <v>118</v>
      </c>
      <c r="D27" s="2" t="s">
        <v>27</v>
      </c>
      <c r="E27" s="2" t="s">
        <v>36</v>
      </c>
      <c r="L27" s="1"/>
      <c r="M27" s="11"/>
      <c r="N27" s="2"/>
      <c r="O27" s="2"/>
    </row>
    <row r="28" spans="2:18" ht="12.75">
      <c r="B28" s="1" t="s">
        <v>22</v>
      </c>
      <c r="C28" s="43">
        <f>E8*I19/1000</f>
        <v>113.39</v>
      </c>
      <c r="D28" s="2" t="s">
        <v>27</v>
      </c>
      <c r="E28" s="20">
        <f>E7</f>
        <v>777.43</v>
      </c>
      <c r="G28" s="2"/>
      <c r="H28" s="3"/>
      <c r="L28" s="1"/>
      <c r="M28" s="43"/>
      <c r="N28" s="2"/>
      <c r="O28" s="20"/>
      <c r="Q28" s="2"/>
      <c r="R28" s="3"/>
    </row>
    <row r="29" spans="2:18" ht="12">
      <c r="B29" s="1" t="s">
        <v>22</v>
      </c>
      <c r="C29" s="20">
        <f>C28+E28</f>
        <v>890.8199999999999</v>
      </c>
      <c r="D29" s="3" t="s">
        <v>23</v>
      </c>
      <c r="E29" s="2"/>
      <c r="F29" s="3"/>
      <c r="G29" s="2"/>
      <c r="H29" s="3"/>
      <c r="L29" s="1"/>
      <c r="M29" s="20"/>
      <c r="N29" s="3"/>
      <c r="O29" s="2"/>
      <c r="P29" s="3"/>
      <c r="Q29" s="2"/>
      <c r="R29" s="3"/>
    </row>
    <row r="30" spans="2:16" ht="15.75">
      <c r="B30" s="1" t="s">
        <v>24</v>
      </c>
      <c r="C30" s="2" t="s">
        <v>45</v>
      </c>
      <c r="D30" s="9" t="s">
        <v>46</v>
      </c>
      <c r="E30" t="s">
        <v>25</v>
      </c>
      <c r="F30" s="9" t="s">
        <v>47</v>
      </c>
      <c r="G30" t="s">
        <v>26</v>
      </c>
      <c r="L30" s="1"/>
      <c r="M30" s="2"/>
      <c r="N30" s="9"/>
      <c r="P30" s="9"/>
    </row>
    <row r="31" spans="2:17" ht="12">
      <c r="B31" s="1" t="s">
        <v>22</v>
      </c>
      <c r="C31" s="20">
        <f>E10</f>
        <v>300</v>
      </c>
      <c r="D31" s="18" t="s">
        <v>27</v>
      </c>
      <c r="E31" s="2">
        <f>C13*C14*(F23-3)</f>
        <v>0</v>
      </c>
      <c r="F31" s="18" t="s">
        <v>27</v>
      </c>
      <c r="G31" s="2">
        <f>F13*F14*(E9-0.5)</f>
        <v>0</v>
      </c>
      <c r="L31" s="1"/>
      <c r="M31" s="20"/>
      <c r="N31" s="18"/>
      <c r="O31" s="2"/>
      <c r="P31" s="18"/>
      <c r="Q31" s="2"/>
    </row>
    <row r="32" spans="2:16" ht="12.75">
      <c r="B32" s="1" t="s">
        <v>22</v>
      </c>
      <c r="C32" s="20">
        <f>SUM(C31+E31+G31)</f>
        <v>300</v>
      </c>
      <c r="D32" s="24" t="str">
        <f>IF(C32&lt;F32,"kPa &lt;","kPa &gt;")</f>
        <v>kPa &lt;</v>
      </c>
      <c r="E32" s="2" t="s">
        <v>88</v>
      </c>
      <c r="F32" s="2">
        <f>1.1*E10</f>
        <v>330</v>
      </c>
      <c r="G32" t="s">
        <v>89</v>
      </c>
      <c r="L32" s="1"/>
      <c r="M32" s="20"/>
      <c r="O32" s="2"/>
      <c r="P32" s="2"/>
    </row>
    <row r="33" spans="2:16" ht="12">
      <c r="B33" s="29" t="s">
        <v>121</v>
      </c>
      <c r="C33" s="20">
        <f>MAX(C32,F32)</f>
        <v>330</v>
      </c>
      <c r="D33" t="s">
        <v>89</v>
      </c>
      <c r="E33" s="2"/>
      <c r="F33" s="2"/>
      <c r="L33" s="29"/>
      <c r="M33" s="20"/>
      <c r="O33" s="2"/>
      <c r="P33" s="2"/>
    </row>
    <row r="34" spans="2:16" ht="12">
      <c r="B34" s="1"/>
      <c r="C34" s="20"/>
      <c r="E34" s="2"/>
      <c r="F34" s="2"/>
      <c r="L34" s="1"/>
      <c r="M34" s="20"/>
      <c r="O34" s="2"/>
      <c r="P34" s="2"/>
    </row>
    <row r="35" spans="1:12" ht="12.75">
      <c r="A35" s="30" t="s">
        <v>141</v>
      </c>
      <c r="B35" s="31"/>
      <c r="L35" s="31"/>
    </row>
    <row r="36" spans="2:15" ht="14.25">
      <c r="B36" s="1" t="s">
        <v>28</v>
      </c>
      <c r="C36" s="9" t="s">
        <v>48</v>
      </c>
      <c r="D36" s="37" t="s">
        <v>90</v>
      </c>
      <c r="E36" s="38">
        <f>F14*D25*E9</f>
        <v>960</v>
      </c>
      <c r="F36" t="s">
        <v>6</v>
      </c>
      <c r="L36" s="1"/>
      <c r="M36" s="9"/>
      <c r="N36" s="37"/>
      <c r="O36" s="38"/>
    </row>
    <row r="37" spans="2:18" ht="15.75">
      <c r="B37" s="1" t="s">
        <v>103</v>
      </c>
      <c r="C37" s="3" t="s">
        <v>104</v>
      </c>
      <c r="D37" s="2"/>
      <c r="E37" s="18">
        <f>C29*1000/(E6+E36)</f>
        <v>317.3113913229322</v>
      </c>
      <c r="F37" s="41" t="str">
        <f>IF(E37&gt;H37,"mm  &gt;","mm  &lt;")</f>
        <v>mm  &lt;</v>
      </c>
      <c r="G37" s="2" t="s">
        <v>106</v>
      </c>
      <c r="H37" s="18">
        <f>F23/6</f>
        <v>666.6666666666666</v>
      </c>
      <c r="I37" t="s">
        <v>105</v>
      </c>
      <c r="L37" s="1"/>
      <c r="M37" s="3"/>
      <c r="N37" s="2"/>
      <c r="O37" s="18"/>
      <c r="P37" s="41"/>
      <c r="Q37" s="2"/>
      <c r="R37" s="18"/>
    </row>
    <row r="38" spans="2:18" ht="12.75">
      <c r="B38" s="45" t="s">
        <v>107</v>
      </c>
      <c r="C38" s="3" t="s">
        <v>109</v>
      </c>
      <c r="D38" s="2"/>
      <c r="E38" s="18">
        <f>IF(F23-3*(F23/2-E37)&lt;0,0,F23-3*(F23/2-E37))</f>
        <v>0</v>
      </c>
      <c r="F38" s="41" t="str">
        <f>IF(E38&gt;H38,"mm  &gt;","mm  &lt;")</f>
        <v>mm  &lt;</v>
      </c>
      <c r="G38" s="2" t="s">
        <v>108</v>
      </c>
      <c r="H38" s="18">
        <f>F23/4</f>
        <v>1000</v>
      </c>
      <c r="I38" t="s">
        <v>105</v>
      </c>
      <c r="L38" s="45"/>
      <c r="M38" s="3"/>
      <c r="N38" s="2"/>
      <c r="O38" s="18"/>
      <c r="P38" s="41"/>
      <c r="Q38" s="2"/>
      <c r="R38" s="18"/>
    </row>
    <row r="39" spans="2:19" ht="12.75">
      <c r="B39" s="45"/>
      <c r="C39" s="3"/>
      <c r="D39" s="2"/>
      <c r="E39" s="18"/>
      <c r="F39" s="41"/>
      <c r="I39" s="56" t="str">
        <f>IF(E38&lt;H38,"OK!","NO!")</f>
        <v>OK!</v>
      </c>
      <c r="L39" s="45"/>
      <c r="M39" s="3"/>
      <c r="N39" s="2"/>
      <c r="O39" s="18"/>
      <c r="P39" s="41"/>
      <c r="Q39" s="2"/>
      <c r="S39" s="56"/>
    </row>
    <row r="40" spans="2:18" ht="12.75">
      <c r="B40" s="1" t="s">
        <v>29</v>
      </c>
      <c r="C40" s="1" t="s">
        <v>30</v>
      </c>
      <c r="D40" s="2" t="s">
        <v>22</v>
      </c>
      <c r="E40" s="13">
        <f>(E6+E36)/D25</f>
        <v>175.4625</v>
      </c>
      <c r="F40" s="41" t="str">
        <f>IF(E40&lt;H40,"kPa  &lt;","kPa  &gt;")</f>
        <v>kPa  &lt;</v>
      </c>
      <c r="G40" s="1" t="s">
        <v>24</v>
      </c>
      <c r="H40" s="18">
        <f>C33</f>
        <v>330</v>
      </c>
      <c r="I40" t="s">
        <v>10</v>
      </c>
      <c r="L40" s="1"/>
      <c r="M40" s="1"/>
      <c r="N40" s="2"/>
      <c r="O40" s="13"/>
      <c r="P40" s="41"/>
      <c r="Q40" s="1"/>
      <c r="R40" s="18"/>
    </row>
    <row r="41" spans="2:19" ht="15.75">
      <c r="B41" s="1" t="s">
        <v>49</v>
      </c>
      <c r="C41" s="3" t="str">
        <f>IF(E37&gt;H37,"  2( N + G )  / [ 3( B/2 - e ) L ]  = ","  (N+G) / A + Mx / Wx    =")</f>
        <v>  (N+G) / A + Mx / Wx    =</v>
      </c>
      <c r="D41" s="2"/>
      <c r="E41" s="13"/>
      <c r="F41" s="13">
        <f>IF(E37&gt;H37,2000000*(E6+E36)/(3*(F23/2-E37)*C23),E40+C29/E26)</f>
        <v>258.976875</v>
      </c>
      <c r="G41" s="41" t="str">
        <f>IF(F41&lt;I41,"kPa  &lt;","kPa  &gt;")</f>
        <v>kPa  &lt;</v>
      </c>
      <c r="H41" s="2" t="s">
        <v>91</v>
      </c>
      <c r="I41" s="2">
        <f>1.2*C33</f>
        <v>396</v>
      </c>
      <c r="J41" t="s">
        <v>74</v>
      </c>
      <c r="L41" s="1"/>
      <c r="M41" s="3"/>
      <c r="N41" s="2"/>
      <c r="O41" s="13"/>
      <c r="P41" s="13"/>
      <c r="Q41" s="41"/>
      <c r="R41" s="2"/>
      <c r="S41" s="2"/>
    </row>
    <row r="42" spans="2:19" ht="15.75">
      <c r="B42" s="1" t="s">
        <v>50</v>
      </c>
      <c r="C42" s="3" t="str">
        <f>IF(E37&gt;H37,"       0    =","  (N+G) / A - Mx / Wx    =")</f>
        <v>  (N+G) / A - Mx / Wx    =</v>
      </c>
      <c r="D42" s="2"/>
      <c r="E42" s="13"/>
      <c r="F42" s="13">
        <f>IF(E37&gt;H37,0,E40-C29/E26)</f>
        <v>91.948125</v>
      </c>
      <c r="G42" t="s">
        <v>74</v>
      </c>
      <c r="H42" s="2"/>
      <c r="I42" s="56" t="str">
        <f>IF(E40&lt;H40,IF(F41&lt;I41,"OK!","NO!"),"NO!")</f>
        <v>OK!</v>
      </c>
      <c r="L42" s="1"/>
      <c r="M42" s="3"/>
      <c r="N42" s="2"/>
      <c r="O42" s="13"/>
      <c r="P42" s="20"/>
      <c r="R42" s="2"/>
      <c r="S42" s="56"/>
    </row>
    <row r="43" spans="2:18" ht="12">
      <c r="B43" s="1"/>
      <c r="C43" s="3"/>
      <c r="D43" s="2"/>
      <c r="E43" s="13"/>
      <c r="F43" s="13"/>
      <c r="H43" s="2"/>
      <c r="L43" s="1"/>
      <c r="M43" s="3"/>
      <c r="N43" s="2"/>
      <c r="O43" s="13"/>
      <c r="P43" s="20"/>
      <c r="R43" s="2"/>
    </row>
    <row r="44" spans="1:18" ht="12.75">
      <c r="A44" s="30" t="s">
        <v>142</v>
      </c>
      <c r="B44" s="31"/>
      <c r="C44" s="44"/>
      <c r="D44" s="2"/>
      <c r="E44" s="13"/>
      <c r="F44" s="13"/>
      <c r="H44" s="2"/>
      <c r="L44" s="31"/>
      <c r="M44" s="44"/>
      <c r="N44" s="2"/>
      <c r="O44" s="13"/>
      <c r="P44" s="13"/>
      <c r="R44" s="2"/>
    </row>
    <row r="45" spans="2:18" ht="15.75">
      <c r="B45" s="1" t="s">
        <v>51</v>
      </c>
      <c r="C45" s="2" t="s">
        <v>52</v>
      </c>
      <c r="D45" s="2">
        <f>IF(I20-E11&gt;0,I20-E11,0)</f>
        <v>350</v>
      </c>
      <c r="E45" t="s">
        <v>3</v>
      </c>
      <c r="F45" s="13"/>
      <c r="H45" s="2"/>
      <c r="L45" s="1"/>
      <c r="M45" s="2"/>
      <c r="N45" s="2"/>
      <c r="P45" s="13"/>
      <c r="R45" s="2"/>
    </row>
    <row r="46" spans="2:18" ht="15.75">
      <c r="B46" s="36" t="s">
        <v>124</v>
      </c>
      <c r="C46" s="39" t="str">
        <f>IF(D45&lt;F20,IF(C20&lt;F20,IF(D45&lt;C20,"  [b1 - H01] * L - [a1 - H01] * [a1 - H01] "," [b1 - H01] * L "),"  (b1 - H01) * [b1 + H01 +(a+2a2+2a3)] "),"  0   ")</f>
        <v>  (b1 - H01) * [b1 + H01 +(a+2a2+2a3)] </v>
      </c>
      <c r="D46" s="39"/>
      <c r="E46" s="39"/>
      <c r="F46" s="39"/>
      <c r="G46" s="39"/>
      <c r="H46" s="2"/>
      <c r="L46" s="36"/>
      <c r="M46" s="39"/>
      <c r="N46" s="39"/>
      <c r="O46" s="39"/>
      <c r="P46" s="39"/>
      <c r="Q46" s="39"/>
      <c r="R46" s="2"/>
    </row>
    <row r="47" spans="2:18" ht="14.25">
      <c r="B47" s="36" t="s">
        <v>92</v>
      </c>
      <c r="C47" s="75">
        <f>IF(D45&lt;F20,IF(C20&lt;F20,IF(D45&lt;C20,((F20-D45)*C23-(C20-D45)^2)/1000000,((F20-D45)*C23)/1000000),((F20-D45)*(F20+D45+(C19+2*C21+2*C22)))/1000000),0)</f>
        <v>0.9375</v>
      </c>
      <c r="D47" s="39" t="s">
        <v>93</v>
      </c>
      <c r="E47" s="39"/>
      <c r="F47" s="39"/>
      <c r="G47" s="39"/>
      <c r="H47" s="2"/>
      <c r="L47" s="36"/>
      <c r="M47" s="13"/>
      <c r="N47" s="39"/>
      <c r="O47" s="39"/>
      <c r="P47" s="39"/>
      <c r="Q47" s="39"/>
      <c r="R47" s="2"/>
    </row>
    <row r="48" spans="2:18" ht="15.75">
      <c r="B48" s="1" t="s">
        <v>125</v>
      </c>
      <c r="C48" s="39" t="s">
        <v>131</v>
      </c>
      <c r="E48" s="20">
        <f>F41*C47</f>
        <v>242.79082031250002</v>
      </c>
      <c r="F48" t="s">
        <v>6</v>
      </c>
      <c r="H48" s="2"/>
      <c r="L48" s="1"/>
      <c r="M48" s="39"/>
      <c r="O48" s="20"/>
      <c r="R48" s="2"/>
    </row>
    <row r="49" spans="2:15" ht="15.75">
      <c r="B49" s="1" t="s">
        <v>53</v>
      </c>
      <c r="C49" s="3" t="s">
        <v>116</v>
      </c>
      <c r="E49" s="18">
        <f>C19+C21+C22+D45</f>
        <v>2250</v>
      </c>
      <c r="F49" t="s">
        <v>3</v>
      </c>
      <c r="L49" s="1"/>
      <c r="M49" s="3"/>
      <c r="O49" s="18"/>
    </row>
    <row r="50" spans="3:18" ht="15.75">
      <c r="C50" s="1" t="s">
        <v>130</v>
      </c>
      <c r="D50" s="18">
        <f>E48*1000/(0.6*E49*C15)</f>
        <v>163.49550189393938</v>
      </c>
      <c r="E50" s="41" t="str">
        <f>IF(D50&lt;D45,"mm  &lt;","mm  &gt;")</f>
        <v>mm  &lt;</v>
      </c>
      <c r="F50" s="3" t="s">
        <v>113</v>
      </c>
      <c r="G50" s="57" t="str">
        <f>IF(D45&lt;D50,"NO","OK!")</f>
        <v>OK!</v>
      </c>
      <c r="H50" s="35"/>
      <c r="M50" s="1"/>
      <c r="N50" s="18"/>
      <c r="O50" s="41"/>
      <c r="P50" s="3"/>
      <c r="Q50" s="57"/>
      <c r="R50" s="35"/>
    </row>
    <row r="52" spans="2:14" ht="15.75">
      <c r="B52" s="1" t="s">
        <v>54</v>
      </c>
      <c r="C52" s="3" t="s">
        <v>55</v>
      </c>
      <c r="D52" s="18">
        <f>IF(I20+I21-E11&gt;0,I20+I21-E11,0)</f>
        <v>650</v>
      </c>
      <c r="E52" t="s">
        <v>3</v>
      </c>
      <c r="L52" s="1"/>
      <c r="M52" s="3"/>
      <c r="N52" s="18"/>
    </row>
    <row r="53" spans="2:16" ht="15.75">
      <c r="B53" s="36" t="s">
        <v>126</v>
      </c>
      <c r="C53" s="39" t="str">
        <f>IF(D52-(F20+F21)&lt;0,IF((C20+C21)-(F20+F21)&lt;0,IF(D52-(C20+C21)&lt;0,"  [(b1+b2) - H02] * L - [(a1+a2) - H02] * [(a1+a2) - H02] "," [(b1+b2) - H02] * L "),"  [(b1+b2) - H02] * [(b1+b2) + H02 +(a+2a3) ] "),"  0   ")</f>
        <v>  [(b1+b2) - H02] * [(b1+b2) + H02 +(a+2a3) ] </v>
      </c>
      <c r="D53" s="39"/>
      <c r="E53" s="39"/>
      <c r="F53" s="39"/>
      <c r="L53" s="36"/>
      <c r="M53" s="39"/>
      <c r="N53" s="39"/>
      <c r="O53" s="39"/>
      <c r="P53" s="39"/>
    </row>
    <row r="54" spans="2:16" ht="14.25">
      <c r="B54" s="36" t="s">
        <v>92</v>
      </c>
      <c r="C54" s="75">
        <f>IF((D52)&lt;(F20+F21),IF((C20+C21)&lt;(F20+F21),IF((D52)&lt;(C20+C21),(((F20+F21)-(D52))*C23-(((C20+C21)-(D52))^2))/1000000,(((F20+F21)-(D52))*C23)/1000000),(((F20+F21)-(D52))*((F20+F21)+D52+(C19+2*C22)))/1000000),0)</f>
        <v>1.5975</v>
      </c>
      <c r="D54" s="39" t="s">
        <v>93</v>
      </c>
      <c r="E54" s="39"/>
      <c r="F54" s="39"/>
      <c r="L54" s="36"/>
      <c r="M54" s="13"/>
      <c r="N54" s="39"/>
      <c r="O54" s="39"/>
      <c r="P54" s="39"/>
    </row>
    <row r="55" spans="2:15" ht="15.75">
      <c r="B55" s="1" t="s">
        <v>127</v>
      </c>
      <c r="C55" s="39" t="s">
        <v>128</v>
      </c>
      <c r="E55" s="20">
        <f>F41*C54</f>
        <v>413.7155578125</v>
      </c>
      <c r="F55" t="s">
        <v>6</v>
      </c>
      <c r="L55" s="1"/>
      <c r="M55" s="39"/>
      <c r="O55" s="20"/>
    </row>
    <row r="56" spans="2:15" ht="15.75">
      <c r="B56" s="1" t="s">
        <v>56</v>
      </c>
      <c r="C56" s="3" t="s">
        <v>112</v>
      </c>
      <c r="D56" s="18"/>
      <c r="E56" s="18">
        <f>C19+C22+D52</f>
        <v>2050</v>
      </c>
      <c r="F56" t="s">
        <v>3</v>
      </c>
      <c r="L56" s="1"/>
      <c r="M56" s="3"/>
      <c r="N56" s="18"/>
      <c r="O56" s="18"/>
    </row>
    <row r="57" spans="3:17" ht="15.75">
      <c r="C57" s="1" t="s">
        <v>129</v>
      </c>
      <c r="D57" s="18">
        <f>E55*1000/(0.6*E56*C15)</f>
        <v>305.7764654933481</v>
      </c>
      <c r="E57" s="41" t="str">
        <f>IF(D57&lt;D52,"mm  &lt;","mm  &gt;")</f>
        <v>mm  &lt;</v>
      </c>
      <c r="F57" s="3" t="s">
        <v>114</v>
      </c>
      <c r="G57" s="57" t="str">
        <f>IF(D52&lt;D57,"NO","OK!")</f>
        <v>OK!</v>
      </c>
      <c r="M57" s="1"/>
      <c r="N57" s="18"/>
      <c r="O57" s="41"/>
      <c r="P57" s="3"/>
      <c r="Q57" s="57"/>
    </row>
    <row r="58" spans="2:17" ht="12.75">
      <c r="B58" s="1"/>
      <c r="E58" s="18"/>
      <c r="G58" s="24"/>
      <c r="L58" s="1"/>
      <c r="O58" s="18"/>
      <c r="Q58" s="24"/>
    </row>
    <row r="59" spans="2:14" ht="15.75">
      <c r="B59" s="1" t="s">
        <v>57</v>
      </c>
      <c r="C59" s="2" t="s">
        <v>58</v>
      </c>
      <c r="D59" s="18">
        <f>IF(I19-E11&gt;0,I19-E11,0)</f>
        <v>950</v>
      </c>
      <c r="E59" t="s">
        <v>3</v>
      </c>
      <c r="L59" s="1"/>
      <c r="M59" s="2"/>
      <c r="N59" s="18"/>
    </row>
    <row r="60" spans="2:14" ht="15.75">
      <c r="B60" s="36" t="s">
        <v>133</v>
      </c>
      <c r="C60" s="3" t="str">
        <f>IF((I19-E11)&lt;(F20+F21+F22),IF((C20+C21+C22)&lt;(F20+F21+F22),IF((I19-E11)&lt;(C20+C21+C22),"  [(b1+b2+b3) - H03] * L - [(a1+a2+a3) - H03] * [(a1+a2+a3) - H03] "," [(b1+b2+b3) - H03] * L "),"  [(b1+b2+b3) - H03] * [(b1+b2+b3) + H03 +a ] "),"  0   ")</f>
        <v>  [(b1+b2+b3) - H03] * [(b1+b2+b3) + H03 +a ] </v>
      </c>
      <c r="D60" s="18"/>
      <c r="L60" s="36"/>
      <c r="M60" s="3"/>
      <c r="N60" s="18"/>
    </row>
    <row r="61" spans="2:14" ht="14.25">
      <c r="B61" s="36" t="s">
        <v>92</v>
      </c>
      <c r="C61" s="2">
        <f>IF((I19-E11)&lt;(F20+F21+F22),IF((C20+C21+C22)&lt;(F20+F21+F22),IF((I19-E11)&lt;(C20+C21+C22),(((F20+F21+F22)-(I19-E11))*C23-(((C20+C21+C22)-(I19-E11))^2))/1000000,(((F20+F21+F22)-(I19-E11))*C23)/1000000),(((F20+F21+F22)-(I19-E11))*((F20+F21+F22)+(I19-E11)+C19))/1000000),0)</f>
        <v>1.8975</v>
      </c>
      <c r="D61" s="39" t="s">
        <v>93</v>
      </c>
      <c r="L61" s="36"/>
      <c r="M61" s="13"/>
      <c r="N61" s="39"/>
    </row>
    <row r="62" spans="2:15" ht="15.75">
      <c r="B62" s="1" t="s">
        <v>127</v>
      </c>
      <c r="C62" s="39" t="s">
        <v>132</v>
      </c>
      <c r="D62" s="18"/>
      <c r="E62" s="20">
        <f>F41*C61</f>
        <v>491.4086203125</v>
      </c>
      <c r="F62" t="s">
        <v>6</v>
      </c>
      <c r="L62" s="1"/>
      <c r="M62" s="39"/>
      <c r="N62" s="18"/>
      <c r="O62" s="20"/>
    </row>
    <row r="63" spans="2:14" ht="15.75">
      <c r="B63" s="1" t="s">
        <v>59</v>
      </c>
      <c r="C63" s="2" t="s">
        <v>60</v>
      </c>
      <c r="D63" s="18">
        <f>C19+D59</f>
        <v>1950</v>
      </c>
      <c r="E63" t="s">
        <v>3</v>
      </c>
      <c r="L63" s="1"/>
      <c r="M63" s="2"/>
      <c r="N63" s="18"/>
    </row>
    <row r="64" spans="2:17" ht="15.75">
      <c r="B64" s="1"/>
      <c r="C64" s="1" t="s">
        <v>134</v>
      </c>
      <c r="D64" s="18">
        <f>E62*1000/(0.6*D63*C15)</f>
        <v>381.8248798076923</v>
      </c>
      <c r="E64" s="41" t="str">
        <f>IF(D64&lt;D59,"mm  &lt;","mm  &gt;")</f>
        <v>mm  &lt;</v>
      </c>
      <c r="F64" s="3" t="s">
        <v>115</v>
      </c>
      <c r="G64" s="57" t="str">
        <f>IF(D59&lt;D64,"NO","OK!")</f>
        <v>OK!</v>
      </c>
      <c r="L64" s="1"/>
      <c r="M64" s="1"/>
      <c r="N64" s="18"/>
      <c r="O64" s="41"/>
      <c r="P64" s="3"/>
      <c r="Q64" s="57"/>
    </row>
    <row r="65" spans="2:14" ht="12">
      <c r="B65" s="1"/>
      <c r="C65" s="2"/>
      <c r="D65" s="18"/>
      <c r="L65" s="1"/>
      <c r="M65" s="2"/>
      <c r="N65" s="18"/>
    </row>
    <row r="66" spans="1:12" ht="12.75">
      <c r="A66" s="30" t="s">
        <v>144</v>
      </c>
      <c r="L66" s="31"/>
    </row>
    <row r="67" spans="2:16" ht="13.5">
      <c r="B67" s="1" t="s">
        <v>145</v>
      </c>
      <c r="C67" s="3" t="s">
        <v>146</v>
      </c>
      <c r="F67" s="78">
        <f>IF(F20&gt;D45,(F41+C72)*(F20-D45)*F23/2000000,0)</f>
        <v>246.44971875</v>
      </c>
      <c r="G67" t="s">
        <v>6</v>
      </c>
      <c r="K67" s="7"/>
      <c r="L67" s="19"/>
      <c r="M67" s="13"/>
      <c r="P67" s="1"/>
    </row>
    <row r="68" spans="3:13" ht="13.5">
      <c r="C68" s="3" t="s">
        <v>147</v>
      </c>
      <c r="D68">
        <f>0.07*F15*F23*D45/1000</f>
        <v>980.0000000000001</v>
      </c>
      <c r="E68" t="s">
        <v>6</v>
      </c>
      <c r="L68" s="1"/>
      <c r="M68" s="13"/>
    </row>
    <row r="69" spans="2:13" ht="13.5">
      <c r="B69" s="76" t="s">
        <v>149</v>
      </c>
      <c r="C69" s="3" t="s">
        <v>150</v>
      </c>
      <c r="D69" s="77" t="str">
        <f>IF(F67&gt;D68,"NO","OK!")</f>
        <v>OK!</v>
      </c>
      <c r="L69" s="1"/>
      <c r="M69" s="13"/>
    </row>
    <row r="70" spans="12:18" ht="12.75">
      <c r="L70" s="1"/>
      <c r="M70" s="39"/>
      <c r="O70" s="2"/>
      <c r="P70" s="2"/>
      <c r="Q70" s="2"/>
      <c r="R70" s="3"/>
    </row>
    <row r="71" spans="1:18" ht="12.75">
      <c r="A71" s="30" t="s">
        <v>143</v>
      </c>
      <c r="B71" s="31"/>
      <c r="L71" s="1"/>
      <c r="M71" s="38"/>
      <c r="N71" s="2"/>
      <c r="O71" s="17"/>
      <c r="P71" s="2"/>
      <c r="Q71" s="17"/>
      <c r="R71" s="3"/>
    </row>
    <row r="72" spans="1:17" ht="15.75">
      <c r="A72" s="7" t="s">
        <v>31</v>
      </c>
      <c r="B72" s="19" t="s">
        <v>61</v>
      </c>
      <c r="C72" s="13">
        <f>IF(E37&gt;H37,(F23-E38-F20)*F41/(F23-E38),(F23-F20)/F23*(F41-F42)+F42)</f>
        <v>233.9225625</v>
      </c>
      <c r="D72" t="s">
        <v>10</v>
      </c>
      <c r="F72" s="1"/>
      <c r="L72" s="1"/>
      <c r="M72" s="38"/>
      <c r="Q72" s="33"/>
    </row>
    <row r="73" spans="2:18" ht="15.75">
      <c r="B73" s="1" t="s">
        <v>62</v>
      </c>
      <c r="C73" s="13">
        <f>IF(E37&gt;H37,(F23-E38-F20-F21)*F41/(F23-E38),(F23-F20-F21)/F23*(F41-F42)+F42)</f>
        <v>213.04396875</v>
      </c>
      <c r="D73" t="s">
        <v>10</v>
      </c>
      <c r="L73" s="1"/>
      <c r="M73" s="39"/>
      <c r="O73" s="2"/>
      <c r="P73" s="2"/>
      <c r="Q73" s="17"/>
      <c r="R73" s="3"/>
    </row>
    <row r="74" spans="2:17" ht="15.75">
      <c r="B74" s="1" t="s">
        <v>63</v>
      </c>
      <c r="C74" s="13">
        <f>IF(E37&gt;H37,(F23-E38-F20-F21-F22)*F41/(F23-E38),(F23-F20-F21-F22)/F23*(F41-F42)+F42)</f>
        <v>196.34109375</v>
      </c>
      <c r="D74" t="s">
        <v>10</v>
      </c>
      <c r="L74" s="1"/>
      <c r="M74" s="38"/>
      <c r="N74" s="2"/>
      <c r="O74" s="17"/>
      <c r="P74" s="2"/>
      <c r="Q74" s="17"/>
    </row>
    <row r="75" spans="2:18" ht="15.75">
      <c r="B75" s="1" t="s">
        <v>64</v>
      </c>
      <c r="C75" s="39" t="s">
        <v>94</v>
      </c>
      <c r="E75" s="2"/>
      <c r="F75" s="2" t="s">
        <v>66</v>
      </c>
      <c r="G75" s="2" t="s">
        <v>65</v>
      </c>
      <c r="H75" s="3" t="s">
        <v>95</v>
      </c>
      <c r="L75" s="1"/>
      <c r="M75" s="38"/>
      <c r="Q75" s="33"/>
      <c r="R75" s="13"/>
    </row>
    <row r="76" spans="2:18" ht="12.75">
      <c r="B76" s="1" t="s">
        <v>22</v>
      </c>
      <c r="C76" s="38">
        <f>($F$41+C72-2*E36/D25)/2</f>
        <v>186.44971875</v>
      </c>
      <c r="D76" s="2" t="s">
        <v>65</v>
      </c>
      <c r="E76" s="17">
        <f>F20^2/1000000</f>
        <v>0.36</v>
      </c>
      <c r="F76" s="2" t="s">
        <v>65</v>
      </c>
      <c r="G76" s="17">
        <f>(3*$C$23-2*C20)/6000</f>
        <v>1.8</v>
      </c>
      <c r="H76" s="3"/>
      <c r="L76" s="1"/>
      <c r="M76" s="39"/>
      <c r="O76" s="2"/>
      <c r="P76" s="1"/>
      <c r="Q76" s="17"/>
      <c r="R76" s="3"/>
    </row>
    <row r="77" spans="2:18" ht="12.75">
      <c r="B77" s="1" t="s">
        <v>22</v>
      </c>
      <c r="C77" s="38">
        <f>C76*E76*G76</f>
        <v>120.81941775</v>
      </c>
      <c r="D77" t="s">
        <v>23</v>
      </c>
      <c r="G77" s="33"/>
      <c r="L77" s="1"/>
      <c r="M77" s="38"/>
      <c r="N77" s="2"/>
      <c r="O77" s="17"/>
      <c r="P77" s="2"/>
      <c r="Q77" s="17"/>
      <c r="R77" s="3"/>
    </row>
    <row r="78" spans="2:13" ht="15.75">
      <c r="B78" s="1" t="s">
        <v>67</v>
      </c>
      <c r="C78" s="39" t="s">
        <v>96</v>
      </c>
      <c r="E78" s="2"/>
      <c r="F78" s="2" t="s">
        <v>68</v>
      </c>
      <c r="G78" s="17" t="s">
        <v>65</v>
      </c>
      <c r="H78" s="3" t="s">
        <v>97</v>
      </c>
      <c r="L78" s="1"/>
      <c r="M78" s="13"/>
    </row>
    <row r="79" spans="2:18" ht="12.75">
      <c r="B79" s="1" t="s">
        <v>22</v>
      </c>
      <c r="C79" s="38">
        <f>($F$41+C73-2*E36/D25)/2</f>
        <v>176.01042187500002</v>
      </c>
      <c r="D79" s="2" t="s">
        <v>65</v>
      </c>
      <c r="E79" s="17">
        <f>(F20+F21)^2/1000000</f>
        <v>1.21</v>
      </c>
      <c r="F79" s="2" t="s">
        <v>65</v>
      </c>
      <c r="G79" s="17">
        <f>(3*$C$23-2*(C20+C21))/6000</f>
        <v>1.6333333333333333</v>
      </c>
      <c r="L79" s="1"/>
      <c r="M79" s="3"/>
      <c r="O79" s="18"/>
      <c r="Q79" s="29"/>
      <c r="R79" s="58"/>
    </row>
    <row r="80" spans="2:18" ht="12.75">
      <c r="B80" s="1" t="s">
        <v>22</v>
      </c>
      <c r="C80" s="38">
        <f>C79*E79*G79</f>
        <v>347.855263765625</v>
      </c>
      <c r="D80" t="s">
        <v>23</v>
      </c>
      <c r="G80" s="33"/>
      <c r="H80" s="13"/>
      <c r="L80" s="1"/>
      <c r="M80" s="3"/>
      <c r="O80" s="18"/>
      <c r="Q80" s="29"/>
      <c r="R80" s="58"/>
    </row>
    <row r="81" spans="2:18" ht="15.75">
      <c r="B81" s="1" t="s">
        <v>69</v>
      </c>
      <c r="C81" s="39" t="s">
        <v>98</v>
      </c>
      <c r="E81" s="2"/>
      <c r="F81" s="1" t="s">
        <v>99</v>
      </c>
      <c r="G81" s="17" t="s">
        <v>65</v>
      </c>
      <c r="H81" s="3" t="s">
        <v>100</v>
      </c>
      <c r="L81" s="1"/>
      <c r="M81" s="3"/>
      <c r="O81" s="18"/>
      <c r="R81" s="58"/>
    </row>
    <row r="82" spans="2:18" ht="12.75">
      <c r="B82" s="1" t="s">
        <v>22</v>
      </c>
      <c r="C82" s="38">
        <f>($F$41+C74-2*E36/D25)/2</f>
        <v>167.658984375</v>
      </c>
      <c r="D82" s="2" t="s">
        <v>65</v>
      </c>
      <c r="E82" s="17">
        <f>(F20+F21+F22)^2/1000000</f>
        <v>2.25</v>
      </c>
      <c r="F82" s="2" t="s">
        <v>65</v>
      </c>
      <c r="G82" s="17">
        <f>(3*$C$23-2*(C20+C21+C22))/6000</f>
        <v>1.5</v>
      </c>
      <c r="H82" s="3"/>
      <c r="M82" s="1"/>
      <c r="N82" s="2"/>
      <c r="O82" s="42"/>
      <c r="R82" s="59"/>
    </row>
    <row r="83" spans="2:18" ht="12.75">
      <c r="B83" s="1" t="s">
        <v>22</v>
      </c>
      <c r="C83" s="13">
        <f>C82*E82*G82</f>
        <v>565.849072265625</v>
      </c>
      <c r="D83" t="s">
        <v>23</v>
      </c>
      <c r="L83" s="1"/>
      <c r="M83" s="19"/>
      <c r="N83" s="2"/>
      <c r="O83" s="40"/>
      <c r="Q83" s="70"/>
      <c r="R83" s="71"/>
    </row>
    <row r="84" spans="2:9" ht="15.75">
      <c r="B84" s="1" t="s">
        <v>70</v>
      </c>
      <c r="C84" s="3" t="s">
        <v>75</v>
      </c>
      <c r="E84" s="18">
        <f>IF(C77=0,0,C77*1000000/(0.9*D45*C16))</f>
        <v>1826.446224489796</v>
      </c>
      <c r="F84" t="s">
        <v>139</v>
      </c>
      <c r="G84" s="29"/>
      <c r="H84" s="58">
        <f>IF(C77=0,0,C77*1000000/(0.9*D45*C17))</f>
        <v>1237.2700230414746</v>
      </c>
      <c r="I84" t="s">
        <v>135</v>
      </c>
    </row>
    <row r="85" spans="2:9" ht="15.75">
      <c r="B85" s="1" t="s">
        <v>72</v>
      </c>
      <c r="C85" s="3" t="s">
        <v>76</v>
      </c>
      <c r="E85" s="18">
        <f>IF(C80=0,0,C80*1000000/(0.9*D52*C16))</f>
        <v>2831.544678596866</v>
      </c>
      <c r="F85" t="s">
        <v>71</v>
      </c>
      <c r="G85" s="29"/>
      <c r="H85" s="58">
        <f>IF(C80=0,0,C80*1000000/(0.9*D52*C17))</f>
        <v>1918.1431693720706</v>
      </c>
      <c r="I85" t="s">
        <v>71</v>
      </c>
    </row>
    <row r="86" spans="2:9" ht="15.75">
      <c r="B86" s="1" t="s">
        <v>73</v>
      </c>
      <c r="C86" s="3" t="s">
        <v>101</v>
      </c>
      <c r="E86" s="18">
        <f>IF(C83=0,0,C83*1000000/(0.9*D59*C16))</f>
        <v>3151.4846687030076</v>
      </c>
      <c r="F86" t="s">
        <v>71</v>
      </c>
      <c r="H86" s="58">
        <f>IF(C83=0,0,C83*1000000/(0.9*D59*C17))</f>
        <v>2134.876711056876</v>
      </c>
      <c r="I86" t="s">
        <v>71</v>
      </c>
    </row>
    <row r="87" spans="3:9" ht="15.75">
      <c r="C87" s="1" t="s">
        <v>137</v>
      </c>
      <c r="D87" s="2" t="s">
        <v>136</v>
      </c>
      <c r="E87" s="42">
        <f>MAX(E84:E86)/(C23/1000)</f>
        <v>787.8711671757519</v>
      </c>
      <c r="F87" t="s">
        <v>102</v>
      </c>
      <c r="H87" s="59">
        <f>MAX(H84:H86)/(C23/1000)</f>
        <v>533.719177764219</v>
      </c>
      <c r="I87" t="s">
        <v>102</v>
      </c>
    </row>
    <row r="88" spans="2:8" ht="15.75">
      <c r="B88" s="1"/>
      <c r="C88" s="19" t="s">
        <v>138</v>
      </c>
      <c r="D88" s="2" t="s">
        <v>136</v>
      </c>
      <c r="E88" s="40" t="str">
        <f>IF(E87&lt;393,"393",IF(E87&lt;524,"524",IF(H87&lt;565,"565",IF(H87&lt;754," 754",IF(H87&lt;770,"770",IF(H87&lt;1005,"1005",IF(H87&lt;1026," 1026",IF(H87&lt;1340," 1340","   ?   "))))))))</f>
        <v>565</v>
      </c>
      <c r="F88" t="s">
        <v>102</v>
      </c>
      <c r="G88" s="68" t="str">
        <f>IF(E87&lt;393,"一级钢筋 10@200",IF(E87&lt;524,"一级钢筋 10@150",IF(H87&lt;565,"二级钢筋 12@200",IF(H87&lt;754,"二级钢筋 12@150",IF(H87&lt;770,"二级钢筋 14@200",IF(H87&lt;1005,"二级钢筋 16@200",IF(H87&lt;1026,"二级钢筋 14@150",IF(H87&lt;1340,"二级钢筋 16@150","   ?   "))))))))</f>
        <v>二级钢筋 12@200</v>
      </c>
      <c r="H88" s="69"/>
    </row>
  </sheetData>
  <printOptions/>
  <pageMargins left="0.7480314960629921" right="0.7086614173228347" top="0.98425196850393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AutoCAD" shapeId="1082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tb</dc:creator>
  <cp:keywords/>
  <dc:description/>
  <cp:lastModifiedBy>SM</cp:lastModifiedBy>
  <cp:lastPrinted>2000-03-02T03:52:55Z</cp:lastPrinted>
  <dcterms:created xsi:type="dcterms:W3CDTF">1998-03-16T05:36:22Z</dcterms:created>
  <dcterms:modified xsi:type="dcterms:W3CDTF">2001-11-24T12:08:53Z</dcterms:modified>
  <cp:category/>
  <cp:version/>
  <cp:contentType/>
  <cp:contentStatus/>
</cp:coreProperties>
</file>