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445" windowHeight="69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<sst xmlns="http://schemas.openxmlformats.org/spreadsheetml/2006/main" count="218" uniqueCount="100">
  <si>
    <t>吊车梁计算</t>
  </si>
  <si>
    <r>
      <t>轮压</t>
    </r>
    <r>
      <rPr>
        <sz val="12"/>
        <rFont val="Times New Roman"/>
        <family val="1"/>
      </rPr>
      <t>P1</t>
    </r>
  </si>
  <si>
    <r>
      <t>跨度</t>
    </r>
    <r>
      <rPr>
        <sz val="12"/>
        <rFont val="Times New Roman"/>
        <family val="1"/>
      </rPr>
      <t>L</t>
    </r>
  </si>
  <si>
    <r>
      <t>轮压</t>
    </r>
    <r>
      <rPr>
        <sz val="12"/>
        <rFont val="Times New Roman"/>
        <family val="1"/>
      </rPr>
      <t>P2</t>
    </r>
  </si>
  <si>
    <r>
      <t>轮距</t>
    </r>
    <r>
      <rPr>
        <sz val="12"/>
        <rFont val="Times New Roman"/>
        <family val="1"/>
      </rPr>
      <t>a1</t>
    </r>
  </si>
  <si>
    <r>
      <t>轮距</t>
    </r>
    <r>
      <rPr>
        <sz val="12"/>
        <rFont val="Times New Roman"/>
        <family val="1"/>
      </rPr>
      <t>a2</t>
    </r>
  </si>
  <si>
    <r>
      <t>车宽</t>
    </r>
    <r>
      <rPr>
        <sz val="12"/>
        <rFont val="Times New Roman"/>
        <family val="1"/>
      </rPr>
      <t>B1</t>
    </r>
  </si>
  <si>
    <r>
      <t>车宽</t>
    </r>
    <r>
      <rPr>
        <sz val="12"/>
        <rFont val="Times New Roman"/>
        <family val="1"/>
      </rPr>
      <t>B2</t>
    </r>
  </si>
  <si>
    <r>
      <t>P1</t>
    </r>
    <r>
      <rPr>
        <sz val="12"/>
        <rFont val="宋体"/>
        <family val="0"/>
      </rPr>
      <t>设计值</t>
    </r>
  </si>
  <si>
    <r>
      <t>P2</t>
    </r>
    <r>
      <rPr>
        <sz val="12"/>
        <rFont val="宋体"/>
        <family val="0"/>
      </rPr>
      <t>设计值</t>
    </r>
  </si>
  <si>
    <t>a0</t>
  </si>
  <si>
    <t>a1</t>
  </si>
  <si>
    <t>P1+2P2</t>
  </si>
  <si>
    <r>
      <t>上翼缘</t>
    </r>
    <r>
      <rPr>
        <sz val="12"/>
        <rFont val="Times New Roman"/>
        <family val="1"/>
      </rPr>
      <t>B1</t>
    </r>
  </si>
  <si>
    <r>
      <t>上翼缘</t>
    </r>
    <r>
      <rPr>
        <sz val="12"/>
        <rFont val="Times New Roman"/>
        <family val="1"/>
      </rPr>
      <t>t1</t>
    </r>
  </si>
  <si>
    <t>下翼缘B2</t>
  </si>
  <si>
    <r>
      <t>下翼缘</t>
    </r>
    <r>
      <rPr>
        <sz val="12"/>
        <rFont val="Times New Roman"/>
        <family val="1"/>
      </rPr>
      <t>t2</t>
    </r>
  </si>
  <si>
    <r>
      <t>腹板</t>
    </r>
    <r>
      <rPr>
        <sz val="12"/>
        <rFont val="Times New Roman"/>
        <family val="1"/>
      </rPr>
      <t>ho</t>
    </r>
  </si>
  <si>
    <r>
      <t>腹板</t>
    </r>
    <r>
      <rPr>
        <sz val="12"/>
        <rFont val="Times New Roman"/>
        <family val="1"/>
      </rPr>
      <t>tw</t>
    </r>
  </si>
  <si>
    <r>
      <t>螺孔位置</t>
    </r>
    <r>
      <rPr>
        <sz val="12"/>
        <rFont val="Times New Roman"/>
        <family val="1"/>
      </rPr>
      <t>ao</t>
    </r>
  </si>
  <si>
    <r>
      <t>孔径</t>
    </r>
    <r>
      <rPr>
        <sz val="12"/>
        <rFont val="Times New Roman"/>
        <family val="1"/>
      </rPr>
      <t>do</t>
    </r>
  </si>
  <si>
    <r>
      <t>中和轴</t>
    </r>
    <r>
      <rPr>
        <sz val="12"/>
        <rFont val="Times New Roman"/>
        <family val="1"/>
      </rPr>
      <t>yn</t>
    </r>
  </si>
  <si>
    <t>An</t>
  </si>
  <si>
    <t>Awn</t>
  </si>
  <si>
    <t>Af2n</t>
  </si>
  <si>
    <t>Af1n</t>
  </si>
  <si>
    <r>
      <t xml:space="preserve">    </t>
    </r>
    <r>
      <rPr>
        <sz val="12"/>
        <rFont val="Times New Roman"/>
        <family val="1"/>
      </rPr>
      <t>Ixn</t>
    </r>
  </si>
  <si>
    <t>Wxn1</t>
  </si>
  <si>
    <t>Wxn2</t>
  </si>
  <si>
    <t>Mt</t>
  </si>
  <si>
    <t>剪应力</t>
  </si>
  <si>
    <r>
      <t>正应力</t>
    </r>
    <r>
      <rPr>
        <sz val="12"/>
        <rFont val="Times New Roman"/>
        <family val="1"/>
      </rPr>
      <t>1</t>
    </r>
  </si>
  <si>
    <r>
      <t>正应力</t>
    </r>
    <r>
      <rPr>
        <sz val="12"/>
        <rFont val="Times New Roman"/>
        <family val="1"/>
      </rPr>
      <t>2</t>
    </r>
  </si>
  <si>
    <t>Iyn1</t>
  </si>
  <si>
    <t>Wyn1</t>
  </si>
  <si>
    <t>I1</t>
  </si>
  <si>
    <t>I2</t>
  </si>
  <si>
    <t>kesi</t>
  </si>
  <si>
    <t>h</t>
  </si>
  <si>
    <t>beitaB</t>
  </si>
  <si>
    <t>Af1</t>
  </si>
  <si>
    <t>Af2</t>
  </si>
  <si>
    <t>Aw</t>
  </si>
  <si>
    <r>
      <t>中和轴</t>
    </r>
    <r>
      <rPr>
        <sz val="12"/>
        <rFont val="Times New Roman"/>
        <family val="1"/>
      </rPr>
      <t>y</t>
    </r>
  </si>
  <si>
    <r>
      <t xml:space="preserve">    </t>
    </r>
    <r>
      <rPr>
        <sz val="12"/>
        <rFont val="Times New Roman"/>
        <family val="1"/>
      </rPr>
      <t>Ix</t>
    </r>
  </si>
  <si>
    <t>Wx1</t>
  </si>
  <si>
    <t>Wx2</t>
  </si>
  <si>
    <t>Iy</t>
  </si>
  <si>
    <t>Wy</t>
  </si>
  <si>
    <t>iy</t>
  </si>
  <si>
    <t>A</t>
  </si>
  <si>
    <t>lambdaY</t>
  </si>
  <si>
    <t>faiB</t>
  </si>
  <si>
    <t>faib1</t>
  </si>
  <si>
    <t>挠度</t>
  </si>
  <si>
    <t>v/L</t>
  </si>
  <si>
    <t>eitaB</t>
  </si>
  <si>
    <r>
      <t>两台吊车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三个轮子</t>
    </r>
    <r>
      <rPr>
        <sz val="12"/>
        <rFont val="Times New Roman"/>
        <family val="1"/>
      </rPr>
      <t>)</t>
    </r>
  </si>
  <si>
    <r>
      <t>一台吊车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两个轮子</t>
    </r>
    <r>
      <rPr>
        <sz val="12"/>
        <rFont val="Times New Roman"/>
        <family val="1"/>
      </rPr>
      <t>)</t>
    </r>
  </si>
  <si>
    <t xml:space="preserve"> </t>
  </si>
  <si>
    <t xml:space="preserve"> </t>
  </si>
  <si>
    <r>
      <t>P</t>
    </r>
    <r>
      <rPr>
        <sz val="12"/>
        <rFont val="宋体"/>
        <family val="0"/>
      </rPr>
      <t>设计值</t>
    </r>
  </si>
  <si>
    <t>2P</t>
  </si>
  <si>
    <r>
      <t>水平荷载</t>
    </r>
    <r>
      <rPr>
        <sz val="12"/>
        <rFont val="Times New Roman"/>
        <family val="1"/>
      </rPr>
      <t>T</t>
    </r>
  </si>
  <si>
    <t>ao</t>
  </si>
  <si>
    <r>
      <t>两台吊车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四个轮子</t>
    </r>
    <r>
      <rPr>
        <sz val="12"/>
        <rFont val="Times New Roman"/>
        <family val="1"/>
      </rPr>
      <t>)</t>
    </r>
  </si>
  <si>
    <t>a3</t>
  </si>
  <si>
    <t>2P1+2P2</t>
  </si>
  <si>
    <t>ao</t>
  </si>
  <si>
    <t>2T1+2T2</t>
  </si>
  <si>
    <t>2T</t>
  </si>
  <si>
    <t>faiB1</t>
  </si>
  <si>
    <t>fy</t>
  </si>
  <si>
    <r>
      <t>起重量</t>
    </r>
    <r>
      <rPr>
        <sz val="12"/>
        <rFont val="Times New Roman"/>
        <family val="1"/>
      </rPr>
      <t>Q1</t>
    </r>
  </si>
  <si>
    <r>
      <t>起重量</t>
    </r>
    <r>
      <rPr>
        <sz val="12"/>
        <rFont val="Times New Roman"/>
        <family val="1"/>
      </rPr>
      <t>Q2</t>
    </r>
  </si>
  <si>
    <r>
      <t>小车重</t>
    </r>
    <r>
      <rPr>
        <sz val="12"/>
        <rFont val="Times New Roman"/>
        <family val="1"/>
      </rPr>
      <t>g1</t>
    </r>
  </si>
  <si>
    <r>
      <t>小车重</t>
    </r>
    <r>
      <rPr>
        <sz val="12"/>
        <rFont val="Times New Roman"/>
        <family val="1"/>
      </rPr>
      <t>g2</t>
    </r>
  </si>
  <si>
    <r>
      <t>水平刹车</t>
    </r>
    <r>
      <rPr>
        <sz val="12"/>
        <rFont val="Times New Roman"/>
        <family val="1"/>
      </rPr>
      <t>T1</t>
    </r>
  </si>
  <si>
    <r>
      <t>水平刹车</t>
    </r>
    <r>
      <rPr>
        <sz val="12"/>
        <rFont val="Times New Roman"/>
        <family val="1"/>
      </rPr>
      <t>T2</t>
    </r>
  </si>
  <si>
    <r>
      <t>弯矩</t>
    </r>
    <r>
      <rPr>
        <sz val="12"/>
        <rFont val="Times New Roman"/>
        <family val="1"/>
      </rPr>
      <t>Mt</t>
    </r>
  </si>
  <si>
    <r>
      <t>弯矩</t>
    </r>
    <r>
      <rPr>
        <sz val="12"/>
        <rFont val="Times New Roman"/>
        <family val="1"/>
      </rPr>
      <t>M</t>
    </r>
  </si>
  <si>
    <r>
      <t>剪力</t>
    </r>
    <r>
      <rPr>
        <sz val="12"/>
        <rFont val="Times New Roman"/>
        <family val="1"/>
      </rPr>
      <t>V</t>
    </r>
  </si>
  <si>
    <r>
      <t>起重量</t>
    </r>
    <r>
      <rPr>
        <sz val="12"/>
        <rFont val="Times New Roman"/>
        <family val="1"/>
      </rPr>
      <t>Q</t>
    </r>
  </si>
  <si>
    <r>
      <t>小车重</t>
    </r>
    <r>
      <rPr>
        <sz val="12"/>
        <rFont val="Times New Roman"/>
        <family val="1"/>
      </rPr>
      <t>g</t>
    </r>
  </si>
  <si>
    <r>
      <t>1.</t>
    </r>
    <r>
      <rPr>
        <sz val="12"/>
        <rFont val="宋体"/>
        <family val="0"/>
      </rPr>
      <t>输入吊车参数</t>
    </r>
  </si>
  <si>
    <r>
      <t>2.</t>
    </r>
    <r>
      <rPr>
        <sz val="12"/>
        <rFont val="宋体"/>
        <family val="0"/>
      </rPr>
      <t>输入截面参数</t>
    </r>
  </si>
  <si>
    <r>
      <t>3.</t>
    </r>
    <r>
      <rPr>
        <sz val="12"/>
        <rFont val="宋体"/>
        <family val="0"/>
      </rPr>
      <t>强度验算</t>
    </r>
  </si>
  <si>
    <r>
      <t>4.</t>
    </r>
    <r>
      <rPr>
        <sz val="12"/>
        <rFont val="宋体"/>
        <family val="0"/>
      </rPr>
      <t>整体稳定验算</t>
    </r>
  </si>
  <si>
    <r>
      <t>5.</t>
    </r>
    <r>
      <rPr>
        <sz val="12"/>
        <rFont val="宋体"/>
        <family val="0"/>
      </rPr>
      <t>挠度验算</t>
    </r>
  </si>
  <si>
    <r>
      <t>挠度</t>
    </r>
    <r>
      <rPr>
        <sz val="12"/>
        <rFont val="Times New Roman"/>
        <family val="1"/>
      </rPr>
      <t xml:space="preserve"> mm</t>
    </r>
  </si>
  <si>
    <r>
      <t>轮压</t>
    </r>
    <r>
      <rPr>
        <sz val="12"/>
        <rFont val="Times New Roman"/>
        <family val="1"/>
      </rPr>
      <t>P(t)</t>
    </r>
  </si>
  <si>
    <r>
      <t>剪力</t>
    </r>
    <r>
      <rPr>
        <sz val="12"/>
        <rFont val="Times New Roman"/>
        <family val="1"/>
      </rPr>
      <t>V(kN)</t>
    </r>
  </si>
  <si>
    <r>
      <t>剪力</t>
    </r>
    <r>
      <rPr>
        <sz val="12"/>
        <rFont val="Times New Roman"/>
        <family val="1"/>
      </rPr>
      <t>(kN)</t>
    </r>
  </si>
  <si>
    <r>
      <t>车宽</t>
    </r>
    <r>
      <rPr>
        <sz val="12"/>
        <rFont val="Times New Roman"/>
        <family val="1"/>
      </rPr>
      <t>(mm)</t>
    </r>
  </si>
  <si>
    <r>
      <t>轮距</t>
    </r>
    <r>
      <rPr>
        <sz val="12"/>
        <rFont val="Times New Roman"/>
        <family val="1"/>
      </rPr>
      <t>(mm)</t>
    </r>
  </si>
  <si>
    <r>
      <t>跨度</t>
    </r>
    <r>
      <rPr>
        <sz val="12"/>
        <rFont val="Times New Roman"/>
        <family val="1"/>
      </rPr>
      <t>(mm)</t>
    </r>
  </si>
  <si>
    <r>
      <t>梁高</t>
    </r>
    <r>
      <rPr>
        <sz val="12"/>
        <rFont val="Times New Roman"/>
        <family val="1"/>
      </rPr>
      <t>h</t>
    </r>
  </si>
  <si>
    <r>
      <t>面积</t>
    </r>
    <r>
      <rPr>
        <sz val="12"/>
        <rFont val="Times New Roman"/>
        <family val="1"/>
      </rPr>
      <t>A</t>
    </r>
  </si>
  <si>
    <r>
      <t>弯矩</t>
    </r>
    <r>
      <rPr>
        <sz val="12"/>
        <rFont val="Times New Roman"/>
        <family val="1"/>
      </rPr>
      <t>(Nm)</t>
    </r>
  </si>
  <si>
    <r>
      <t>弯矩</t>
    </r>
    <r>
      <rPr>
        <sz val="12"/>
        <rFont val="Times New Roman"/>
        <family val="1"/>
      </rPr>
      <t>M(Nm)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</si>
</sst>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G28" sqref="G28"/>
    </sheetView>
  </sheetViews>
  <sheetFormatPr defaultColWidth="9.00390625" defaultRowHeight="14.25"/>
  <cols>
    <col min="1" max="1" width="9.125" style="0" bestFit="1" customWidth="1"/>
    <col min="2" max="2" width="10.125" style="0" bestFit="1" customWidth="1"/>
    <col min="5" max="6" width="12.75390625" style="0" bestFit="1" customWidth="1"/>
  </cols>
  <sheetData>
    <row r="1" spans="1:3" ht="15.75">
      <c r="A1" t="s">
        <v>57</v>
      </c>
      <c r="C1" t="s">
        <v>0</v>
      </c>
    </row>
    <row r="2" spans="1:14" ht="15.75">
      <c r="A2" t="s">
        <v>2</v>
      </c>
      <c r="B2" t="s">
        <v>1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1" t="s">
        <v>11</v>
      </c>
      <c r="I2" s="1" t="s">
        <v>8</v>
      </c>
      <c r="J2" s="1" t="s">
        <v>9</v>
      </c>
      <c r="K2" s="1" t="s">
        <v>12</v>
      </c>
      <c r="L2" s="1" t="s">
        <v>10</v>
      </c>
      <c r="M2" t="s">
        <v>80</v>
      </c>
      <c r="N2" t="s">
        <v>81</v>
      </c>
    </row>
    <row r="3" spans="1:14" ht="14.25">
      <c r="A3">
        <v>6000</v>
      </c>
      <c r="B3">
        <v>2.48</v>
      </c>
      <c r="C3">
        <v>2.48</v>
      </c>
      <c r="D3">
        <v>3000</v>
      </c>
      <c r="E3">
        <v>3000</v>
      </c>
      <c r="F3">
        <v>3500</v>
      </c>
      <c r="G3">
        <v>3500</v>
      </c>
      <c r="H3">
        <f>(F3-D3+G3-E3)/2</f>
        <v>500</v>
      </c>
      <c r="I3">
        <f>1.4*B3*1.05*9.81*1.03</f>
        <v>36.836236080000006</v>
      </c>
      <c r="J3">
        <f>1.4*C3*1.05*9.81*1.03</f>
        <v>36.836236080000006</v>
      </c>
      <c r="K3">
        <f>I3+2*J3</f>
        <v>110.50870824000002</v>
      </c>
      <c r="L3">
        <f>(J3*E3-I3*H3)/K3</f>
        <v>833.3333333333334</v>
      </c>
      <c r="M3">
        <f>K3*(A3-L3)^2/(4*A3)-I3*H3</f>
        <v>104497.23915750002</v>
      </c>
      <c r="N3">
        <f>I3+J3*(2*(A3-H3)-E3)/A3</f>
        <v>85.95121752000003</v>
      </c>
    </row>
    <row r="5" spans="1:8" ht="15.75">
      <c r="A5" t="s">
        <v>73</v>
      </c>
      <c r="B5" t="s">
        <v>74</v>
      </c>
      <c r="C5" t="s">
        <v>75</v>
      </c>
      <c r="D5" t="s">
        <v>76</v>
      </c>
      <c r="E5" t="s">
        <v>77</v>
      </c>
      <c r="F5" t="s">
        <v>78</v>
      </c>
      <c r="H5" t="s">
        <v>79</v>
      </c>
    </row>
    <row r="6" spans="1:8" ht="14.25">
      <c r="A6">
        <v>2</v>
      </c>
      <c r="B6">
        <v>2</v>
      </c>
      <c r="C6">
        <v>4.25</v>
      </c>
      <c r="D6">
        <v>4.25</v>
      </c>
      <c r="E6">
        <f>0.12*(A6+C6)*9.81*1.4/4</f>
        <v>2.575125</v>
      </c>
      <c r="F6">
        <f>0.12*(B6+D6)*9.81*1.4/4</f>
        <v>2.575125</v>
      </c>
      <c r="H6">
        <f>F6/J3*M3</f>
        <v>7305.12890625</v>
      </c>
    </row>
    <row r="8" spans="1:12" ht="15.75">
      <c r="A8" t="s">
        <v>13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  <c r="G8" t="s">
        <v>19</v>
      </c>
      <c r="I8" t="s">
        <v>20</v>
      </c>
      <c r="J8" s="1" t="s">
        <v>38</v>
      </c>
      <c r="L8" t="s">
        <v>97</v>
      </c>
    </row>
    <row r="9" spans="1:12" ht="14.25">
      <c r="A9">
        <v>300</v>
      </c>
      <c r="B9">
        <v>10</v>
      </c>
      <c r="C9">
        <v>200</v>
      </c>
      <c r="D9">
        <v>10</v>
      </c>
      <c r="E9">
        <v>380</v>
      </c>
      <c r="F9">
        <v>6</v>
      </c>
      <c r="G9">
        <v>90</v>
      </c>
      <c r="I9">
        <v>22</v>
      </c>
      <c r="J9">
        <f>B9+D9+E9</f>
        <v>400</v>
      </c>
      <c r="L9">
        <f>(A9*B9+C9*D9+E9*F9)/1000*7.85*A3/1000</f>
        <v>342.888</v>
      </c>
    </row>
    <row r="11" spans="1:4" ht="15.75">
      <c r="A11" s="1" t="s">
        <v>25</v>
      </c>
      <c r="B11" s="1" t="s">
        <v>24</v>
      </c>
      <c r="C11" s="1" t="s">
        <v>23</v>
      </c>
      <c r="D11" s="1" t="s">
        <v>22</v>
      </c>
    </row>
    <row r="12" spans="1:4" ht="14.25">
      <c r="A12">
        <f>A9*B9-2*I9*B9</f>
        <v>2560</v>
      </c>
      <c r="B12">
        <f>C9*D9</f>
        <v>2000</v>
      </c>
      <c r="C12" s="2">
        <f>C18</f>
        <v>2280</v>
      </c>
      <c r="D12">
        <f>A12+B12+C12</f>
        <v>6840</v>
      </c>
    </row>
    <row r="14" spans="1:11" ht="15.75">
      <c r="A14" t="s">
        <v>21</v>
      </c>
      <c r="B14" s="1" t="s">
        <v>26</v>
      </c>
      <c r="C14" s="1" t="s">
        <v>27</v>
      </c>
      <c r="D14" s="1" t="s">
        <v>28</v>
      </c>
      <c r="E14" s="1" t="s">
        <v>33</v>
      </c>
      <c r="F14" s="1" t="s">
        <v>34</v>
      </c>
      <c r="G14" s="1" t="s">
        <v>72</v>
      </c>
      <c r="H14" t="s">
        <v>31</v>
      </c>
      <c r="I14" t="s">
        <v>32</v>
      </c>
      <c r="J14" t="s">
        <v>30</v>
      </c>
      <c r="K14" s="1" t="s">
        <v>59</v>
      </c>
    </row>
    <row r="15" spans="1:11" ht="15.75">
      <c r="A15">
        <f>(A12*B9/2+B12*(B9+E9+D9/2)+C12*(B9+E9/2))/D12</f>
        <v>184.03508771929825</v>
      </c>
      <c r="B15">
        <f>A12*(A15-B9/2)^2+B12*(B9+E9+D9/2-A15)^2+C12*(B9+E9/2-A15)^2+E9^3*F9/12</f>
        <v>199086631.57894734</v>
      </c>
      <c r="C15">
        <f>B15/A15</f>
        <v>1081786.2726406099</v>
      </c>
      <c r="D15">
        <f>B15/(J9-A15)</f>
        <v>921847.1161657188</v>
      </c>
      <c r="E15" s="2">
        <f>A9^3*B9/12-2*I9*B9*G9^2</f>
        <v>18936000</v>
      </c>
      <c r="F15">
        <f>2*E15/A9</f>
        <v>126240</v>
      </c>
      <c r="G15">
        <v>235</v>
      </c>
      <c r="H15">
        <f>1000*(M3/C15+H6/F15)</f>
        <v>154.463926529886</v>
      </c>
      <c r="I15">
        <f>M3/D15*1000</f>
        <v>113.35636606657751</v>
      </c>
      <c r="J15">
        <f>1.5*N3/(E9*F9)*1000</f>
        <v>56.54685363157897</v>
      </c>
      <c r="K15" s="1" t="s">
        <v>59</v>
      </c>
    </row>
    <row r="17" spans="1:4" ht="15.75">
      <c r="A17" s="1" t="s">
        <v>40</v>
      </c>
      <c r="B17" s="1" t="s">
        <v>41</v>
      </c>
      <c r="C17" s="1" t="s">
        <v>42</v>
      </c>
      <c r="D17" s="1" t="s">
        <v>50</v>
      </c>
    </row>
    <row r="18" spans="1:4" ht="14.25">
      <c r="A18">
        <f>A9*B9</f>
        <v>3000</v>
      </c>
      <c r="B18">
        <f>C9*D9</f>
        <v>2000</v>
      </c>
      <c r="C18">
        <f>E9*F9</f>
        <v>2280</v>
      </c>
      <c r="D18">
        <f>A18+B18+C18</f>
        <v>7280</v>
      </c>
    </row>
    <row r="20" spans="1:7" ht="15.75">
      <c r="A20" t="s">
        <v>43</v>
      </c>
      <c r="B20" s="1" t="s">
        <v>44</v>
      </c>
      <c r="C20" s="1" t="s">
        <v>45</v>
      </c>
      <c r="D20" s="1" t="s">
        <v>46</v>
      </c>
      <c r="E20" s="1" t="s">
        <v>47</v>
      </c>
      <c r="F20" s="1" t="s">
        <v>48</v>
      </c>
      <c r="G20" s="1" t="s">
        <v>49</v>
      </c>
    </row>
    <row r="21" spans="1:7" ht="14.25">
      <c r="A21">
        <f>(A18*B9/2+B18*(B9+E9+D9/2)+C18*(B9+E9/2))/D18</f>
        <v>173.21428571428572</v>
      </c>
      <c r="B21" s="2">
        <f>A18*(A21-B9/2)^2+B18*(B9+E9+D9/2-A21)^2+C18*(B9+E9/2-A21)^2+E9^3*F9/12</f>
        <v>212337785.7142857</v>
      </c>
      <c r="C21" s="2">
        <f>B21/A21</f>
        <v>1225867.6288659791</v>
      </c>
      <c r="D21" s="2">
        <f>B21/(J9-A21)</f>
        <v>936292.5984251968</v>
      </c>
      <c r="E21" s="2">
        <f>A9^3*B9/12+C9^3*D9/12</f>
        <v>29166666.666666668</v>
      </c>
      <c r="F21" s="2">
        <f>2*E21/A9</f>
        <v>194444.44444444447</v>
      </c>
      <c r="G21" s="2">
        <f>SQRT(E21/D18)</f>
        <v>63.29621044272917</v>
      </c>
    </row>
    <row r="23" spans="1:10" ht="15.75">
      <c r="A23" s="1" t="s">
        <v>35</v>
      </c>
      <c r="B23" s="1" t="s">
        <v>36</v>
      </c>
      <c r="C23" s="1" t="s">
        <v>56</v>
      </c>
      <c r="D23" s="1" t="s">
        <v>37</v>
      </c>
      <c r="E23" s="1" t="s">
        <v>39</v>
      </c>
      <c r="F23" s="1" t="s">
        <v>51</v>
      </c>
      <c r="G23" s="1" t="s">
        <v>52</v>
      </c>
      <c r="H23" s="1" t="s">
        <v>53</v>
      </c>
      <c r="J23" t="s">
        <v>31</v>
      </c>
    </row>
    <row r="24" spans="1:10" ht="14.25">
      <c r="A24">
        <f>A9^3*B9/12</f>
        <v>22500000</v>
      </c>
      <c r="B24">
        <f>C9^3*D9/12</f>
        <v>6666666.666666667</v>
      </c>
      <c r="C24">
        <f>0.8*(A24-B24)/(A24+B24)</f>
        <v>0.4342857142857142</v>
      </c>
      <c r="D24">
        <f>A3*B9/(A9*J9)</f>
        <v>0.5</v>
      </c>
      <c r="E24">
        <f>0.73+0.18*D24</f>
        <v>0.82</v>
      </c>
      <c r="F24">
        <f>A3/G21</f>
        <v>94.79240475903119</v>
      </c>
      <c r="G24">
        <f>E24*4320*D18*J9/(F24^2*C21)*(SQRT(1+(F24*B9/4.4/J9)^2)+C24)*235/G15</f>
        <v>1.4703701116888834</v>
      </c>
      <c r="H24">
        <f>IF(G24&gt;0.6,1.1-0.464/G24+0.1269/G24^1.5,G24)</f>
        <v>0.8556072346278739</v>
      </c>
      <c r="J24">
        <f>1000*(M3/(H24*C21)+H6/F21)</f>
        <v>137.1984684114456</v>
      </c>
    </row>
    <row r="26" spans="1:2" ht="15.75">
      <c r="A26" t="s">
        <v>54</v>
      </c>
      <c r="B26" s="1" t="s">
        <v>55</v>
      </c>
    </row>
    <row r="27" spans="1:2" ht="14.25">
      <c r="A27">
        <f>1000*M3*A3^2/(10*206000*B21)/1.4</f>
        <v>6.14306028063776</v>
      </c>
      <c r="B27" s="2">
        <f>A3/A27</f>
        <v>976.7118872187092</v>
      </c>
    </row>
  </sheetData>
  <printOptions/>
  <pageMargins left="0.75" right="0.75" top="1" bottom="1" header="0.5" footer="0.5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34" sqref="G34"/>
    </sheetView>
  </sheetViews>
  <sheetFormatPr defaultColWidth="9.00390625" defaultRowHeight="14.25"/>
  <sheetData>
    <row r="1" spans="1:3" ht="15.75">
      <c r="A1" t="s">
        <v>58</v>
      </c>
      <c r="C1" t="s">
        <v>0</v>
      </c>
    </row>
    <row r="3" ht="15.75">
      <c r="A3" s="1" t="s">
        <v>84</v>
      </c>
    </row>
    <row r="4" spans="1:14" ht="15.75">
      <c r="A4" t="s">
        <v>95</v>
      </c>
      <c r="B4" t="s">
        <v>90</v>
      </c>
      <c r="C4" s="1" t="s">
        <v>59</v>
      </c>
      <c r="D4" t="s">
        <v>94</v>
      </c>
      <c r="E4" s="1" t="s">
        <v>59</v>
      </c>
      <c r="F4" t="s">
        <v>93</v>
      </c>
      <c r="G4" s="1" t="s">
        <v>59</v>
      </c>
      <c r="H4" s="1" t="s">
        <v>61</v>
      </c>
      <c r="I4" s="1" t="s">
        <v>59</v>
      </c>
      <c r="J4" s="1" t="s">
        <v>62</v>
      </c>
      <c r="K4" s="1" t="s">
        <v>64</v>
      </c>
      <c r="L4" s="1"/>
      <c r="M4" t="s">
        <v>98</v>
      </c>
      <c r="N4" t="s">
        <v>92</v>
      </c>
    </row>
    <row r="5" spans="1:14" ht="15.75">
      <c r="A5">
        <v>6000</v>
      </c>
      <c r="B5">
        <v>32.3</v>
      </c>
      <c r="C5" s="1" t="s">
        <v>60</v>
      </c>
      <c r="D5">
        <v>6100</v>
      </c>
      <c r="E5" s="1" t="s">
        <v>60</v>
      </c>
      <c r="F5">
        <v>9200</v>
      </c>
      <c r="G5" s="1"/>
      <c r="H5">
        <f>1.4*B5*1.05*9.81*1.03</f>
        <v>479.76226829999996</v>
      </c>
      <c r="I5" s="1" t="s">
        <v>60</v>
      </c>
      <c r="J5">
        <f>2*H5</f>
        <v>959.5245365999999</v>
      </c>
      <c r="K5" s="2">
        <f>H5*D5/J5</f>
        <v>3050</v>
      </c>
      <c r="L5" s="2"/>
      <c r="M5">
        <f>J5*(A5-K5)^2/(4*A5)</f>
        <v>347927.59499006247</v>
      </c>
      <c r="N5">
        <f>H5*(2-D5/A5)</f>
        <v>471.766230495</v>
      </c>
    </row>
    <row r="7" spans="1:6" ht="15.75">
      <c r="A7" t="s">
        <v>82</v>
      </c>
      <c r="B7" t="s">
        <v>83</v>
      </c>
      <c r="C7" t="s">
        <v>63</v>
      </c>
      <c r="D7" s="1" t="s">
        <v>70</v>
      </c>
      <c r="E7" s="1" t="s">
        <v>59</v>
      </c>
      <c r="F7" t="s">
        <v>79</v>
      </c>
    </row>
    <row r="8" spans="1:12" ht="15.75">
      <c r="A8">
        <v>75</v>
      </c>
      <c r="B8" s="2">
        <v>28</v>
      </c>
      <c r="C8">
        <f>0.12*(A8+B8)*9.81*1.4/4</f>
        <v>42.43805999999999</v>
      </c>
      <c r="D8" s="2">
        <f>2*C8</f>
        <v>84.87611999999999</v>
      </c>
      <c r="E8" s="1" t="s">
        <v>59</v>
      </c>
      <c r="F8">
        <f>D8*(A5-K5)^2/(4*A5)</f>
        <v>30776.434762499994</v>
      </c>
      <c r="L8">
        <f>25*8</f>
        <v>200</v>
      </c>
    </row>
    <row r="9" spans="2:5" ht="15.75">
      <c r="B9" s="2"/>
      <c r="D9" s="2"/>
      <c r="E9" s="1"/>
    </row>
    <row r="10" ht="15.75">
      <c r="A10" s="1" t="s">
        <v>85</v>
      </c>
    </row>
    <row r="11" spans="1:10" ht="15.7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I11" t="s">
        <v>20</v>
      </c>
      <c r="J11" t="s">
        <v>96</v>
      </c>
    </row>
    <row r="12" spans="1:10" ht="14.25">
      <c r="A12">
        <v>340</v>
      </c>
      <c r="B12">
        <v>16</v>
      </c>
      <c r="C12">
        <v>240</v>
      </c>
      <c r="D12">
        <v>16</v>
      </c>
      <c r="E12">
        <v>528</v>
      </c>
      <c r="F12">
        <v>10</v>
      </c>
      <c r="G12">
        <v>90</v>
      </c>
      <c r="I12">
        <v>21.5</v>
      </c>
      <c r="J12">
        <f>B12+D12+E12</f>
        <v>560</v>
      </c>
    </row>
    <row r="14" ht="15.75">
      <c r="A14" s="1" t="s">
        <v>86</v>
      </c>
    </row>
    <row r="15" spans="1:4" ht="15.75">
      <c r="A15" s="1" t="s">
        <v>25</v>
      </c>
      <c r="B15" s="1" t="s">
        <v>24</v>
      </c>
      <c r="C15" s="1" t="s">
        <v>23</v>
      </c>
      <c r="D15" s="1" t="s">
        <v>22</v>
      </c>
    </row>
    <row r="16" spans="1:4" ht="14.25">
      <c r="A16">
        <f>A12*B12-2*I12*B12</f>
        <v>4752</v>
      </c>
      <c r="B16">
        <f>C12*D12</f>
        <v>3840</v>
      </c>
      <c r="C16" s="2">
        <f>C23</f>
        <v>5280</v>
      </c>
      <c r="D16">
        <f>A16+B16+C16</f>
        <v>13872</v>
      </c>
    </row>
    <row r="18" spans="1:12" ht="15.75">
      <c r="A18" t="s">
        <v>21</v>
      </c>
      <c r="B18" s="1" t="s">
        <v>26</v>
      </c>
      <c r="C18" s="1" t="s">
        <v>27</v>
      </c>
      <c r="D18" s="1" t="s">
        <v>28</v>
      </c>
      <c r="E18" s="1" t="s">
        <v>33</v>
      </c>
      <c r="F18" s="1" t="s">
        <v>34</v>
      </c>
      <c r="G18" s="1" t="s">
        <v>72</v>
      </c>
      <c r="H18" t="s">
        <v>31</v>
      </c>
      <c r="I18" t="s">
        <v>32</v>
      </c>
      <c r="J18" t="s">
        <v>30</v>
      </c>
      <c r="K18" s="1" t="s">
        <v>59</v>
      </c>
      <c r="L18" s="1"/>
    </row>
    <row r="19" spans="1:11" ht="15.75">
      <c r="A19">
        <f>(A16*B12/2+B16*(B12+E12+D12/2)+C16*(B12+E12/2))/D16</f>
        <v>262.11764705882354</v>
      </c>
      <c r="B19">
        <f>A16*(A19-B12/2)^2+B16*(B12+E12+D12/2-A19)^2+C16*(B12+E12/2-A19)^2+E12^3*F12/12</f>
        <v>753899520</v>
      </c>
      <c r="C19">
        <f>B19/A19</f>
        <v>2876187.5763016157</v>
      </c>
      <c r="D19">
        <f>B19/(J12-A19)</f>
        <v>2530863.317535545</v>
      </c>
      <c r="E19" s="2">
        <f>A12^3*B12/12-2*I12*B12*G12^2</f>
        <v>46832533.333333336</v>
      </c>
      <c r="F19">
        <f>2*E19/A12</f>
        <v>275485.49019607843</v>
      </c>
      <c r="G19">
        <v>235</v>
      </c>
      <c r="H19">
        <f>1000*(M5/C19+F8/F19)</f>
        <v>232.685406303177</v>
      </c>
      <c r="I19">
        <f>M5/D19*1000</f>
        <v>137.4738780160047</v>
      </c>
      <c r="J19">
        <f>1.5*N5/(E12*F12)*1000</f>
        <v>134.0244972997159</v>
      </c>
      <c r="K19" s="1" t="s">
        <v>59</v>
      </c>
    </row>
    <row r="20" spans="5:11" ht="15.75">
      <c r="E20" s="2"/>
      <c r="K20" s="1"/>
    </row>
    <row r="21" ht="15.75">
      <c r="A21" s="1" t="s">
        <v>87</v>
      </c>
    </row>
    <row r="22" spans="1:4" ht="15.75">
      <c r="A22" s="1" t="s">
        <v>40</v>
      </c>
      <c r="B22" s="1" t="s">
        <v>41</v>
      </c>
      <c r="C22" s="1" t="s">
        <v>42</v>
      </c>
      <c r="D22" t="s">
        <v>97</v>
      </c>
    </row>
    <row r="23" spans="1:4" ht="14.25">
      <c r="A23">
        <f>A12*B12</f>
        <v>5440</v>
      </c>
      <c r="B23">
        <f>C12*D12</f>
        <v>3840</v>
      </c>
      <c r="C23">
        <f>E12*F12</f>
        <v>5280</v>
      </c>
      <c r="D23">
        <f>A23+B23+C23</f>
        <v>14560</v>
      </c>
    </row>
    <row r="25" spans="1:7" ht="15.75">
      <c r="A25" t="s">
        <v>43</v>
      </c>
      <c r="B25" s="1" t="s">
        <v>44</v>
      </c>
      <c r="C25" s="1" t="s">
        <v>45</v>
      </c>
      <c r="D25" s="1" t="s">
        <v>46</v>
      </c>
      <c r="E25" s="1" t="s">
        <v>47</v>
      </c>
      <c r="F25" s="1" t="s">
        <v>48</v>
      </c>
      <c r="G25" s="1" t="s">
        <v>49</v>
      </c>
    </row>
    <row r="26" spans="1:7" ht="14.25">
      <c r="A26">
        <f>(A23*B12/2+B23*(B12+E12+D12/2)+C23*(B12+E12/2))/D23</f>
        <v>250.1098901098901</v>
      </c>
      <c r="B26" s="2">
        <f>A23*(A26-B12/2)^2+B23*(B12+E12+D12/2-A26)^2+C23*(B12+E12/2-A26)^2+E12^3*F12/12</f>
        <v>796228304.1758242</v>
      </c>
      <c r="C26" s="2">
        <f>B26/A26</f>
        <v>3183513.869947276</v>
      </c>
      <c r="D26" s="2">
        <f>B26/(J12-A26)</f>
        <v>2569389.208510638</v>
      </c>
      <c r="E26" s="2">
        <f>A12^3*B12/12+C12^3*D12/12</f>
        <v>70837333.33333334</v>
      </c>
      <c r="F26" s="2">
        <f>2*E26/A12</f>
        <v>416690.19607843144</v>
      </c>
      <c r="G26" s="2">
        <f>SQRT(E26/D23)</f>
        <v>69.75099615920526</v>
      </c>
    </row>
    <row r="28" spans="1:10" ht="15.75">
      <c r="A28" s="1" t="s">
        <v>35</v>
      </c>
      <c r="B28" s="1" t="s">
        <v>36</v>
      </c>
      <c r="C28" s="1" t="s">
        <v>56</v>
      </c>
      <c r="D28" s="1" t="s">
        <v>37</v>
      </c>
      <c r="E28" s="1" t="s">
        <v>39</v>
      </c>
      <c r="F28" s="1" t="s">
        <v>51</v>
      </c>
      <c r="G28" s="1" t="s">
        <v>52</v>
      </c>
      <c r="H28" s="1" t="s">
        <v>71</v>
      </c>
      <c r="J28" t="s">
        <v>31</v>
      </c>
    </row>
    <row r="29" spans="1:10" ht="14.25">
      <c r="A29">
        <f>A12^3*B12/12</f>
        <v>52405333.333333336</v>
      </c>
      <c r="B29">
        <f>C12^3*D12/12</f>
        <v>18432000</v>
      </c>
      <c r="C29">
        <f>0.8*(A29-B29)/(A29+B29)</f>
        <v>0.38367715705466043</v>
      </c>
      <c r="D29">
        <f>A5*B12/(A12*J12)</f>
        <v>0.5042016806722689</v>
      </c>
      <c r="E29">
        <f>0.73+0.18*D29</f>
        <v>0.8207563025210084</v>
      </c>
      <c r="F29">
        <f>A5/G26</f>
        <v>86.0202768474463</v>
      </c>
      <c r="G29">
        <f>E29*4320*D23*J12/(F29^2*C26)*(SQRT(1+(F29*B12/4.4/J12)^2)+C29)*235/G19</f>
        <v>1.8766191959425145</v>
      </c>
      <c r="H29">
        <f>IF(G29&gt;0.6,1.1-0.464/G29+0.1269/G29^1.5,G29)</f>
        <v>0.9021093817246915</v>
      </c>
      <c r="J29">
        <f>1000*(M5/(H29*C26)+F8/F26)</f>
        <v>195.00913610269924</v>
      </c>
    </row>
    <row r="31" ht="15.75">
      <c r="A31" s="1" t="s">
        <v>88</v>
      </c>
    </row>
    <row r="32" spans="1:2" ht="15.75">
      <c r="A32" t="s">
        <v>89</v>
      </c>
      <c r="B32" s="1" t="s">
        <v>55</v>
      </c>
    </row>
    <row r="33" spans="1:2" ht="14.25">
      <c r="A33">
        <f>1000*M5*A5^2/(10*206000*B26)/1.4</f>
        <v>5.454544736459733</v>
      </c>
      <c r="B33" s="2">
        <f>A5/A33</f>
        <v>1100.000144813973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E9" sqref="E9"/>
    </sheetView>
  </sheetViews>
  <sheetFormatPr defaultColWidth="9.00390625" defaultRowHeight="14.25"/>
  <cols>
    <col min="8" max="9" width="12.75390625" style="0" bestFit="1" customWidth="1"/>
    <col min="10" max="10" width="11.625" style="0" bestFit="1" customWidth="1"/>
  </cols>
  <sheetData>
    <row r="1" spans="1:14" ht="15.75">
      <c r="A1" t="s">
        <v>65</v>
      </c>
      <c r="C1" t="s">
        <v>0</v>
      </c>
      <c r="N1" s="1"/>
    </row>
    <row r="2" spans="1:14" ht="15.75">
      <c r="A2" t="s">
        <v>2</v>
      </c>
      <c r="B2" t="s">
        <v>1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1" t="s">
        <v>66</v>
      </c>
      <c r="I2" s="1" t="s">
        <v>8</v>
      </c>
      <c r="J2" s="1" t="s">
        <v>9</v>
      </c>
      <c r="K2" s="1" t="s">
        <v>67</v>
      </c>
      <c r="L2" s="1" t="s">
        <v>68</v>
      </c>
      <c r="M2" t="s">
        <v>99</v>
      </c>
      <c r="N2" t="s">
        <v>91</v>
      </c>
    </row>
    <row r="3" spans="1:14" ht="15.75">
      <c r="A3">
        <v>7500</v>
      </c>
      <c r="B3">
        <v>12.5</v>
      </c>
      <c r="C3" s="1">
        <v>12.5</v>
      </c>
      <c r="D3">
        <v>4400</v>
      </c>
      <c r="E3">
        <v>4400</v>
      </c>
      <c r="F3">
        <v>5550</v>
      </c>
      <c r="G3">
        <v>5550</v>
      </c>
      <c r="H3">
        <f>(F3-D3+G3-E3)/2</f>
        <v>1150</v>
      </c>
      <c r="I3">
        <f>1.4*B3*1.05*9.81*1.03</f>
        <v>185.66651250000004</v>
      </c>
      <c r="J3">
        <f>1.4*C3*1.05*9.81*1.03</f>
        <v>185.66651250000004</v>
      </c>
      <c r="K3">
        <f>2*I3+2*J3</f>
        <v>742.6660500000002</v>
      </c>
      <c r="L3" s="2">
        <f>IF(J3*(E3+H3)&gt;I3*(D3+H3),(I3*(D3+2*H3)-J3*E3)/K3,(J3*(E3+2*H3)-I3*D3)/K3)</f>
        <v>575</v>
      </c>
      <c r="M3" s="2">
        <f>IF(J3*(E3+H3)&gt;I3*(D3+H3),K3*(A3+L3)^2/(4*A3)-I3*(D3+2*H3),K3*(A3-L3)^2/(4*A3)-I3*D3)</f>
        <v>370234.4981343752</v>
      </c>
      <c r="N3" s="2">
        <f>I3*(2-D3/A3)+J3*(2*(A3-D3-H3)-E3)/A3</f>
        <v>250.03090350000002</v>
      </c>
    </row>
    <row r="5" spans="1:10" ht="15.75">
      <c r="A5" t="s">
        <v>73</v>
      </c>
      <c r="B5" t="s">
        <v>74</v>
      </c>
      <c r="C5" t="s">
        <v>75</v>
      </c>
      <c r="D5" t="s">
        <v>76</v>
      </c>
      <c r="E5" t="s">
        <v>77</v>
      </c>
      <c r="F5" t="s">
        <v>78</v>
      </c>
      <c r="H5" s="1" t="s">
        <v>69</v>
      </c>
      <c r="I5" s="1" t="s">
        <v>64</v>
      </c>
      <c r="J5" s="1" t="s">
        <v>29</v>
      </c>
    </row>
    <row r="6" spans="1:10" ht="14.25">
      <c r="A6">
        <v>10</v>
      </c>
      <c r="B6">
        <v>10</v>
      </c>
      <c r="C6">
        <v>4.1</v>
      </c>
      <c r="D6">
        <v>4.1</v>
      </c>
      <c r="E6">
        <f>0.12*(A6+C6)*9.81*1.4/4</f>
        <v>5.809482</v>
      </c>
      <c r="F6">
        <f>0.12*(B6+D6)*9.81*1.4/4</f>
        <v>5.809482</v>
      </c>
      <c r="H6">
        <f>2*E6+2*F6</f>
        <v>23.237928</v>
      </c>
      <c r="I6">
        <f>IF(F6*(E3+H3)&gt;E6*(D3+H3),(E6*(D3+2*H3)-F6*E3)/H6,(F6*(E3+2*H3)-E6*D3)/H6)</f>
        <v>575</v>
      </c>
      <c r="J6">
        <f>IF(F6*(E3+H3)&gt;E6*(D3+H3),H6*(A3+I6)^2/(4*A3)-E6*(D3+2*H3),H6*(A3-I6)^2/(4*A3)-E6*D3)</f>
        <v>11584.591231499999</v>
      </c>
    </row>
    <row r="8" spans="1:10" ht="15.75">
      <c r="A8" t="s">
        <v>13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  <c r="G8" t="s">
        <v>19</v>
      </c>
      <c r="I8" t="s">
        <v>20</v>
      </c>
      <c r="J8" t="s">
        <v>96</v>
      </c>
    </row>
    <row r="9" spans="1:10" ht="14.25">
      <c r="A9">
        <v>300</v>
      </c>
      <c r="B9">
        <v>12</v>
      </c>
      <c r="C9">
        <v>200</v>
      </c>
      <c r="D9">
        <v>12</v>
      </c>
      <c r="E9">
        <v>576</v>
      </c>
      <c r="F9">
        <v>8</v>
      </c>
      <c r="G9">
        <v>90</v>
      </c>
      <c r="I9" s="2">
        <v>22</v>
      </c>
      <c r="J9">
        <f>B9+D9+E9</f>
        <v>600</v>
      </c>
    </row>
    <row r="11" spans="1:4" ht="15.75">
      <c r="A11" s="1" t="s">
        <v>25</v>
      </c>
      <c r="B11" s="1" t="s">
        <v>24</v>
      </c>
      <c r="C11" s="1" t="s">
        <v>23</v>
      </c>
      <c r="D11" s="1" t="s">
        <v>22</v>
      </c>
    </row>
    <row r="12" spans="1:4" ht="14.25">
      <c r="A12">
        <f>A9*B9-2*I9*B9</f>
        <v>3072</v>
      </c>
      <c r="B12">
        <f>C9*D9</f>
        <v>2400</v>
      </c>
      <c r="C12" s="2">
        <f>C18</f>
        <v>4608</v>
      </c>
      <c r="D12">
        <f>A12+B12+C12</f>
        <v>10080</v>
      </c>
    </row>
    <row r="14" spans="1:11" ht="15.75">
      <c r="A14" t="s">
        <v>21</v>
      </c>
      <c r="B14" s="1" t="s">
        <v>26</v>
      </c>
      <c r="C14" s="1" t="s">
        <v>27</v>
      </c>
      <c r="D14" s="1" t="s">
        <v>28</v>
      </c>
      <c r="E14" s="1" t="s">
        <v>33</v>
      </c>
      <c r="F14" s="1" t="s">
        <v>34</v>
      </c>
      <c r="G14" s="1" t="s">
        <v>72</v>
      </c>
      <c r="H14" t="s">
        <v>31</v>
      </c>
      <c r="I14" t="s">
        <v>32</v>
      </c>
      <c r="J14" t="s">
        <v>30</v>
      </c>
      <c r="K14" s="1"/>
    </row>
    <row r="15" spans="1:10" ht="14.25">
      <c r="A15">
        <f>(A12*B9/2+B12*(B9+E9+D9/2)+C12*(B9+E9/2))/D12</f>
        <v>280.4</v>
      </c>
      <c r="B15">
        <f>A12*(A15-B9/2)^2+B12*(B9+E9+D9/2-A15)^2+C12*(B9+E9/2-A15)^2+E9^3*F9/12</f>
        <v>596507443.2</v>
      </c>
      <c r="C15">
        <f>B15/A15</f>
        <v>2127344.661911555</v>
      </c>
      <c r="D15">
        <f>B15/(J9-A15)</f>
        <v>1866418.7834793492</v>
      </c>
      <c r="E15" s="2">
        <f>A9^3*B9/12-2*I9*B9*G9^2</f>
        <v>22723200</v>
      </c>
      <c r="F15">
        <f>2*E15/A9</f>
        <v>151488</v>
      </c>
      <c r="G15">
        <v>235</v>
      </c>
      <c r="H15">
        <f>1000*(M3/C15+J6/F15)</f>
        <v>250.50797890771236</v>
      </c>
      <c r="I15">
        <f>M3/D15*1000</f>
        <v>198.36625167487318</v>
      </c>
      <c r="J15">
        <f>1.5*N3/(E9*F9)*1000</f>
        <v>81.39026806640626</v>
      </c>
    </row>
    <row r="17" spans="1:4" ht="15.75">
      <c r="A17" s="1" t="s">
        <v>40</v>
      </c>
      <c r="B17" s="1" t="s">
        <v>41</v>
      </c>
      <c r="C17" s="1" t="s">
        <v>42</v>
      </c>
      <c r="D17" t="s">
        <v>97</v>
      </c>
    </row>
    <row r="18" spans="1:4" ht="14.25">
      <c r="A18">
        <f>A9*B9</f>
        <v>3600</v>
      </c>
      <c r="B18">
        <f>C9*D9</f>
        <v>2400</v>
      </c>
      <c r="C18">
        <f>E9*F9</f>
        <v>4608</v>
      </c>
      <c r="D18">
        <f>A18+B18+C18</f>
        <v>10608</v>
      </c>
    </row>
    <row r="20" spans="1:7" ht="15.75">
      <c r="A20" t="s">
        <v>43</v>
      </c>
      <c r="B20" s="1" t="s">
        <v>44</v>
      </c>
      <c r="C20" s="1" t="s">
        <v>45</v>
      </c>
      <c r="D20" s="1" t="s">
        <v>46</v>
      </c>
      <c r="E20" s="1" t="s">
        <v>47</v>
      </c>
      <c r="F20" s="1" t="s">
        <v>48</v>
      </c>
      <c r="G20" s="1" t="s">
        <v>49</v>
      </c>
    </row>
    <row r="21" spans="1:7" ht="14.25">
      <c r="A21">
        <f>(A18*B9/2+B18*(B9+E9+D9/2)+C18*(B9+E9/2))/D18</f>
        <v>266.7420814479638</v>
      </c>
      <c r="B21" s="2">
        <f>A18*(A21-B9/2)^2+B18*(B9+E9+D9/2-A21)^2+C18*(B9+E9/2-A21)^2+E9^3*F9/12</f>
        <v>634284590.3348417</v>
      </c>
      <c r="C21" s="2">
        <f>B21/A21</f>
        <v>2377894.7322137407</v>
      </c>
      <c r="D21" s="2">
        <f>B21/(J9-A21)</f>
        <v>1903284.3783299392</v>
      </c>
      <c r="E21" s="2">
        <f>A9^3*B9/12+C9^3*D9/12</f>
        <v>35000000</v>
      </c>
      <c r="F21" s="2">
        <f>2*E21/A9</f>
        <v>233333.33333333334</v>
      </c>
      <c r="G21" s="2">
        <f>SQRT(E21/D18)</f>
        <v>57.44037501400581</v>
      </c>
    </row>
    <row r="23" spans="1:10" ht="15.75">
      <c r="A23" s="1" t="s">
        <v>35</v>
      </c>
      <c r="B23" s="1" t="s">
        <v>36</v>
      </c>
      <c r="C23" s="1" t="s">
        <v>56</v>
      </c>
      <c r="D23" s="1" t="s">
        <v>37</v>
      </c>
      <c r="E23" s="1" t="s">
        <v>39</v>
      </c>
      <c r="F23" s="1" t="s">
        <v>51</v>
      </c>
      <c r="G23" s="1" t="s">
        <v>52</v>
      </c>
      <c r="H23" s="1" t="s">
        <v>53</v>
      </c>
      <c r="J23" t="s">
        <v>31</v>
      </c>
    </row>
    <row r="24" spans="1:10" ht="14.25">
      <c r="A24">
        <f>A9^3*B9/12</f>
        <v>27000000</v>
      </c>
      <c r="B24">
        <f>C9^3*D9/12</f>
        <v>8000000</v>
      </c>
      <c r="C24">
        <f>0.8*(A24-B24)/(A24+B24)</f>
        <v>0.4342857142857143</v>
      </c>
      <c r="D24">
        <f>A3*B9/(A9*J9)</f>
        <v>0.5</v>
      </c>
      <c r="E24">
        <f>0.73+0.18*D24</f>
        <v>0.82</v>
      </c>
      <c r="F24">
        <f>A3/G21</f>
        <v>130.57017817469435</v>
      </c>
      <c r="G24">
        <f>E24*4320*D18*J9/(F24^2*C21)*(SQRT(1+(F24*B9/4.4/J9)^2)+C24)*235/G15</f>
        <v>0.8882725943511321</v>
      </c>
      <c r="H24">
        <f>IF(G24&gt;0.6,1.1-0.464/G24+0.1269/G24^1.5,G24)</f>
        <v>0.7292179432427359</v>
      </c>
      <c r="J24">
        <f>1000*(M3/(H24*C21)+J6/F21)</f>
        <v>263.1625212494906</v>
      </c>
    </row>
    <row r="26" spans="1:2" ht="15.75">
      <c r="A26" t="s">
        <v>54</v>
      </c>
      <c r="B26" s="1" t="s">
        <v>55</v>
      </c>
    </row>
    <row r="27" spans="1:2" ht="14.25">
      <c r="A27">
        <f>1000*M3*A3^2/(10*206000*B21)/1.4</f>
        <v>11.384658129502062</v>
      </c>
      <c r="B27" s="2">
        <f>A3/A27</f>
        <v>658.7813103113384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MAX-STATION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ljz</cp:lastModifiedBy>
  <cp:lastPrinted>2001-12-31T11:15:40Z</cp:lastPrinted>
  <dcterms:created xsi:type="dcterms:W3CDTF">2000-07-14T11:32:22Z</dcterms:created>
  <dcterms:modified xsi:type="dcterms:W3CDTF">2003-12-03T13:07:28Z</dcterms:modified>
  <cp:category/>
  <cp:version/>
  <cp:contentType/>
  <cp:contentStatus/>
</cp:coreProperties>
</file>