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9255" activeTab="3"/>
  </bookViews>
  <sheets>
    <sheet name="简支梁" sheetId="1" r:id="rId1"/>
    <sheet name="简固梁" sheetId="2" r:id="rId2"/>
    <sheet name="固定梁" sheetId="3" r:id="rId3"/>
    <sheet name="配筋" sheetId="4" r:id="rId4"/>
  </sheets>
  <definedNames/>
  <calcPr fullCalcOnLoad="1"/>
</workbook>
</file>

<file path=xl/sharedStrings.xml><?xml version="1.0" encoding="utf-8"?>
<sst xmlns="http://schemas.openxmlformats.org/spreadsheetml/2006/main" count="225" uniqueCount="105">
  <si>
    <r>
      <t>梁长</t>
    </r>
    <r>
      <rPr>
        <sz val="12"/>
        <rFont val="Times New Roman"/>
        <family val="1"/>
      </rPr>
      <t>l(mm)</t>
    </r>
  </si>
  <si>
    <t>一、截面信息</t>
  </si>
  <si>
    <r>
      <t>距左端距离</t>
    </r>
    <r>
      <rPr>
        <sz val="12"/>
        <rFont val="Times New Roman"/>
        <family val="1"/>
      </rPr>
      <t>a(mm)</t>
    </r>
  </si>
  <si>
    <r>
      <t>距右端距离</t>
    </r>
    <r>
      <rPr>
        <sz val="12"/>
        <rFont val="Times New Roman"/>
        <family val="1"/>
      </rPr>
      <t>b(mm)</t>
    </r>
  </si>
  <si>
    <r>
      <t>弯距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(KN·m)</t>
    </r>
  </si>
  <si>
    <r>
      <t>二、一个集中力</t>
    </r>
    <r>
      <rPr>
        <sz val="12"/>
        <rFont val="Times New Roman"/>
        <family val="1"/>
      </rPr>
      <t>P</t>
    </r>
  </si>
  <si>
    <t>P(KN)</t>
  </si>
  <si>
    <r>
      <t>距左端距离</t>
    </r>
    <r>
      <rPr>
        <sz val="12"/>
        <rFont val="Times New Roman"/>
        <family val="1"/>
      </rPr>
      <t xml:space="preserve"> x (mm)</t>
    </r>
  </si>
  <si>
    <r>
      <t>左端支座反力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=Pb/l(KN)</t>
    </r>
  </si>
  <si>
    <r>
      <t>右端支座反力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=Pa/l(KN)</t>
    </r>
  </si>
  <si>
    <t>q (KN/m)</t>
  </si>
  <si>
    <r>
      <t>距左端最近距离</t>
    </r>
    <r>
      <rPr>
        <sz val="12"/>
        <rFont val="Times New Roman"/>
        <family val="1"/>
      </rPr>
      <t>d(mm)</t>
    </r>
  </si>
  <si>
    <r>
      <t>均部范围</t>
    </r>
    <r>
      <rPr>
        <sz val="12"/>
        <rFont val="Times New Roman"/>
        <family val="1"/>
      </rPr>
      <t>c(mm)</t>
    </r>
  </si>
  <si>
    <r>
      <t>均部中点距左端距离</t>
    </r>
    <r>
      <rPr>
        <sz val="12"/>
        <rFont val="Times New Roman"/>
        <family val="1"/>
      </rPr>
      <t>a(mm)</t>
    </r>
  </si>
  <si>
    <r>
      <t>均部中点距右端距离</t>
    </r>
    <r>
      <rPr>
        <sz val="12"/>
        <rFont val="Times New Roman"/>
        <family val="1"/>
      </rPr>
      <t>b(mm)</t>
    </r>
  </si>
  <si>
    <r>
      <t>左端支座反力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=qcb/l(KN)</t>
    </r>
  </si>
  <si>
    <r>
      <t>右端支座反力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=qca/l(KN)</t>
    </r>
  </si>
  <si>
    <r>
      <t>三、一段均部荷载</t>
    </r>
    <r>
      <rPr>
        <sz val="12"/>
        <rFont val="Times New Roman"/>
        <family val="1"/>
      </rPr>
      <t>q</t>
    </r>
  </si>
  <si>
    <r>
      <t>叠加弯距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(KN·m)</t>
    </r>
  </si>
  <si>
    <t>一、截面信息</t>
  </si>
  <si>
    <r>
      <t>二、一个集中力</t>
    </r>
    <r>
      <rPr>
        <sz val="12"/>
        <rFont val="Times New Roman"/>
        <family val="1"/>
      </rPr>
      <t>P</t>
    </r>
  </si>
  <si>
    <t>P(KN)</t>
  </si>
  <si>
    <r>
      <t>距左端距离</t>
    </r>
    <r>
      <rPr>
        <sz val="12"/>
        <rFont val="Times New Roman"/>
        <family val="1"/>
      </rPr>
      <t xml:space="preserve"> x (mm)</t>
    </r>
  </si>
  <si>
    <r>
      <t>三、一段均部荷载</t>
    </r>
    <r>
      <rPr>
        <sz val="12"/>
        <rFont val="Times New Roman"/>
        <family val="1"/>
      </rPr>
      <t>q</t>
    </r>
  </si>
  <si>
    <r>
      <t>距左端最近距离</t>
    </r>
    <r>
      <rPr>
        <sz val="12"/>
        <rFont val="Times New Roman"/>
        <family val="1"/>
      </rPr>
      <t>d(mm)</t>
    </r>
  </si>
  <si>
    <r>
      <t>均部范围</t>
    </r>
    <r>
      <rPr>
        <sz val="12"/>
        <rFont val="Times New Roman"/>
        <family val="1"/>
      </rPr>
      <t>c(mm)</t>
    </r>
  </si>
  <si>
    <r>
      <t>均部中点距左端距离</t>
    </r>
    <r>
      <rPr>
        <sz val="12"/>
        <rFont val="Times New Roman"/>
        <family val="1"/>
      </rPr>
      <t>a(mm)</t>
    </r>
  </si>
  <si>
    <r>
      <t>均部中点距右端距离</t>
    </r>
    <r>
      <rPr>
        <sz val="12"/>
        <rFont val="Times New Roman"/>
        <family val="1"/>
      </rPr>
      <t>b(mm)</t>
    </r>
  </si>
  <si>
    <r>
      <t>叠加弯距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(KN·m)</t>
    </r>
  </si>
  <si>
    <r>
      <t>α</t>
    </r>
    <r>
      <rPr>
        <sz val="12"/>
        <rFont val="Times New Roman"/>
        <family val="1"/>
      </rPr>
      <t>=a/l</t>
    </r>
  </si>
  <si>
    <r>
      <t>β</t>
    </r>
    <r>
      <rPr>
        <sz val="12"/>
        <rFont val="Times New Roman"/>
        <family val="1"/>
      </rPr>
      <t>=b/l</t>
    </r>
  </si>
  <si>
    <r>
      <t>右端支座反力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=qc-R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(KN)</t>
    </r>
  </si>
  <si>
    <t>一、截面信息</t>
  </si>
  <si>
    <r>
      <t>二、一个集中力</t>
    </r>
    <r>
      <rPr>
        <sz val="12"/>
        <rFont val="Times New Roman"/>
        <family val="1"/>
      </rPr>
      <t>P</t>
    </r>
  </si>
  <si>
    <r>
      <t>α</t>
    </r>
    <r>
      <rPr>
        <sz val="12"/>
        <rFont val="Times New Roman"/>
        <family val="1"/>
      </rPr>
      <t>=a/l</t>
    </r>
  </si>
  <si>
    <r>
      <t>β</t>
    </r>
    <r>
      <rPr>
        <sz val="12"/>
        <rFont val="Times New Roman"/>
        <family val="1"/>
      </rPr>
      <t>=b/l</t>
    </r>
  </si>
  <si>
    <r>
      <t>距左端距离</t>
    </r>
    <r>
      <rPr>
        <sz val="12"/>
        <rFont val="Times New Roman"/>
        <family val="1"/>
      </rPr>
      <t xml:space="preserve"> x (mm)</t>
    </r>
  </si>
  <si>
    <r>
      <t>弯距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(KN·m)</t>
    </r>
  </si>
  <si>
    <r>
      <t>三、一段均部荷载</t>
    </r>
    <r>
      <rPr>
        <sz val="12"/>
        <rFont val="Times New Roman"/>
        <family val="1"/>
      </rPr>
      <t>q</t>
    </r>
  </si>
  <si>
    <t>q (KN/m)</t>
  </si>
  <si>
    <r>
      <t>左端支座反力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=qc(12b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l-8b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+c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l-2bc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)/4l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(KN)</t>
    </r>
  </si>
  <si>
    <r>
      <t>右端支座反力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=qc-R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(KN)</t>
    </r>
  </si>
  <si>
    <r>
      <t>距简支端距离</t>
    </r>
    <r>
      <rPr>
        <sz val="12"/>
        <rFont val="Times New Roman"/>
        <family val="1"/>
      </rPr>
      <t>a(mm)</t>
    </r>
  </si>
  <si>
    <r>
      <t>距固定端距离</t>
    </r>
    <r>
      <rPr>
        <sz val="12"/>
        <rFont val="Times New Roman"/>
        <family val="1"/>
      </rPr>
      <t>b(mm)</t>
    </r>
  </si>
  <si>
    <r>
      <t>简支座反力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=Pb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(3-</t>
    </r>
    <r>
      <rPr>
        <sz val="12"/>
        <rFont val="宋体"/>
        <family val="0"/>
      </rPr>
      <t>β</t>
    </r>
    <r>
      <rPr>
        <sz val="12"/>
        <rFont val="Times New Roman"/>
        <family val="1"/>
      </rPr>
      <t>)/2l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(KN)</t>
    </r>
  </si>
  <si>
    <r>
      <t>固支座反力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=Pa(3-</t>
    </r>
    <r>
      <rPr>
        <sz val="12"/>
        <rFont val="宋体"/>
        <family val="0"/>
      </rPr>
      <t>α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)/2l(KN)</t>
    </r>
  </si>
  <si>
    <r>
      <t>距简支端距离</t>
    </r>
    <r>
      <rPr>
        <sz val="12"/>
        <rFont val="Times New Roman"/>
        <family val="1"/>
      </rPr>
      <t xml:space="preserve"> x (mm)</t>
    </r>
  </si>
  <si>
    <r>
      <t>左端支座反力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=qc(12b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l-4b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+ac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)/8l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(KN)</t>
    </r>
  </si>
  <si>
    <t>混凝土强度等级</t>
  </si>
  <si>
    <t>C30</t>
  </si>
  <si>
    <t>一、原始数据</t>
  </si>
  <si>
    <t>二、常规数据</t>
  </si>
  <si>
    <t>三、截面配筋</t>
  </si>
  <si>
    <r>
      <t>γ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=(1+(1-2</t>
    </r>
    <r>
      <rPr>
        <sz val="12"/>
        <rFont val="宋体"/>
        <family val="0"/>
      </rPr>
      <t>α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1/2</t>
    </r>
    <r>
      <rPr>
        <sz val="12"/>
        <rFont val="Times New Roman"/>
        <family val="1"/>
      </rPr>
      <t>)/2</t>
    </r>
  </si>
  <si>
    <t>几肢箍</t>
  </si>
  <si>
    <t>斜截面抗剪是否满足</t>
  </si>
  <si>
    <t>正截面抗弯是否满足</t>
  </si>
  <si>
    <r>
      <t>梁截面宽度</t>
    </r>
    <r>
      <rPr>
        <sz val="12"/>
        <rFont val="Times New Roman"/>
        <family val="1"/>
      </rPr>
      <t>b (mm)</t>
    </r>
  </si>
  <si>
    <r>
      <t>梁截面高度</t>
    </r>
    <r>
      <rPr>
        <sz val="12"/>
        <rFont val="Times New Roman"/>
        <family val="1"/>
      </rPr>
      <t>h (mm)</t>
    </r>
  </si>
  <si>
    <r>
      <t>受力钢筋强度设计值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</si>
  <si>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箍筋强度设计值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yv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</si>
  <si>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梁有效高度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=h-35 (mm)</t>
    </r>
  </si>
  <si>
    <r>
      <t>混凝土轴心抗压设计值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</si>
  <si>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弯距</t>
    </r>
    <r>
      <rPr>
        <sz val="12"/>
        <rFont val="Times New Roman"/>
        <family val="1"/>
      </rPr>
      <t>M (KN·m)</t>
    </r>
  </si>
  <si>
    <r>
      <t>钢筋面积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=M/</t>
    </r>
    <r>
      <rPr>
        <sz val="12"/>
        <rFont val="宋体"/>
        <family val="0"/>
      </rPr>
      <t>γ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(mm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</si>
  <si>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钢筋直径</t>
    </r>
    <r>
      <rPr>
        <sz val="12"/>
        <rFont val="Times New Roman"/>
        <family val="1"/>
      </rPr>
      <t>d (mm)</t>
    </r>
  </si>
  <si>
    <r>
      <t>钢筋实际配筋面积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(mm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</si>
  <si>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斜截面受剪承载力</t>
    </r>
    <r>
      <rPr>
        <sz val="12"/>
        <rFont val="Times New Roman"/>
        <family val="1"/>
      </rPr>
      <t>V</t>
    </r>
    <r>
      <rPr>
        <vertAlign val="subscript"/>
        <sz val="12"/>
        <rFont val="Times New Roman"/>
        <family val="1"/>
      </rPr>
      <t>CS</t>
    </r>
    <r>
      <rPr>
        <sz val="12"/>
        <rFont val="Times New Roman"/>
        <family val="1"/>
      </rPr>
      <t xml:space="preserve"> (KN)</t>
    </r>
  </si>
  <si>
    <r>
      <t>箍筋间距</t>
    </r>
    <r>
      <rPr>
        <sz val="12"/>
        <rFont val="Times New Roman"/>
        <family val="1"/>
      </rPr>
      <t>s (mm)</t>
    </r>
  </si>
  <si>
    <r>
      <t>箍筋直径</t>
    </r>
    <r>
      <rPr>
        <sz val="12"/>
        <rFont val="Times New Roman"/>
        <family val="1"/>
      </rPr>
      <t>d (mm)</t>
    </r>
  </si>
  <si>
    <r>
      <t>剪力</t>
    </r>
    <r>
      <rPr>
        <sz val="12"/>
        <rFont val="Times New Roman"/>
        <family val="1"/>
      </rPr>
      <t>V (KN)</t>
    </r>
  </si>
  <si>
    <r>
      <t>梁长</t>
    </r>
    <r>
      <rPr>
        <sz val="12"/>
        <rFont val="Times New Roman"/>
        <family val="1"/>
      </rPr>
      <t>l (mm)</t>
    </r>
  </si>
  <si>
    <t>P (KN)</t>
  </si>
  <si>
    <r>
      <t>距左端距离</t>
    </r>
    <r>
      <rPr>
        <sz val="12"/>
        <rFont val="Times New Roman"/>
        <family val="1"/>
      </rPr>
      <t>a (mm)</t>
    </r>
  </si>
  <si>
    <r>
      <t>距右端距离</t>
    </r>
    <r>
      <rPr>
        <sz val="12"/>
        <rFont val="Times New Roman"/>
        <family val="1"/>
      </rPr>
      <t>b (mm)</t>
    </r>
  </si>
  <si>
    <r>
      <t>右支座反力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=Pa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(1+2</t>
    </r>
    <r>
      <rPr>
        <sz val="12"/>
        <rFont val="宋体"/>
        <family val="0"/>
      </rPr>
      <t>β</t>
    </r>
    <r>
      <rPr>
        <sz val="12"/>
        <rFont val="Times New Roman"/>
        <family val="1"/>
      </rPr>
      <t>)/l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(KN)</t>
    </r>
  </si>
  <si>
    <r>
      <t>左支座反力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=Pb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(1+2</t>
    </r>
    <r>
      <rPr>
        <sz val="12"/>
        <rFont val="宋体"/>
        <family val="0"/>
      </rPr>
      <t>α</t>
    </r>
    <r>
      <rPr>
        <sz val="12"/>
        <rFont val="Times New Roman"/>
        <family val="1"/>
      </rPr>
      <t>)/l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(KN)</t>
    </r>
  </si>
  <si>
    <r>
      <t>弯距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(KN·m)</t>
    </r>
  </si>
  <si>
    <t>P (KN)</t>
  </si>
  <si>
    <r>
      <t>距左端最近距离</t>
    </r>
    <r>
      <rPr>
        <sz val="12"/>
        <rFont val="Times New Roman"/>
        <family val="1"/>
      </rPr>
      <t>d (mm)</t>
    </r>
  </si>
  <si>
    <r>
      <t>均部范围</t>
    </r>
    <r>
      <rPr>
        <sz val="12"/>
        <rFont val="Times New Roman"/>
        <family val="1"/>
      </rPr>
      <t>c (mm)</t>
    </r>
  </si>
  <si>
    <r>
      <t>均部中点距右端距离</t>
    </r>
    <r>
      <rPr>
        <sz val="12"/>
        <rFont val="Times New Roman"/>
        <family val="1"/>
      </rPr>
      <t>b (mm)</t>
    </r>
  </si>
  <si>
    <r>
      <t>均部中点距左端距离</t>
    </r>
    <r>
      <rPr>
        <sz val="12"/>
        <rFont val="Times New Roman"/>
        <family val="1"/>
      </rPr>
      <t>a (mm)</t>
    </r>
  </si>
  <si>
    <r>
      <t>左端支座反力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>=qc(12b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l-8b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+c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l-2bc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)/4l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(KN)</t>
    </r>
  </si>
  <si>
    <r>
      <t>右端支座反力</t>
    </r>
    <r>
      <rPr>
        <sz val="12"/>
        <rFont val="Times New Roman"/>
        <family val="1"/>
      </rPr>
      <t>R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1"/>
      </rPr>
      <t>=qc-R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(KN)</t>
    </r>
  </si>
  <si>
    <r>
      <t>叠加弯距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(KN·m)</t>
    </r>
  </si>
  <si>
    <t>钢筋数量</t>
  </si>
  <si>
    <t>四、裂缝验算</t>
  </si>
  <si>
    <r>
      <t>短期弯矩</t>
    </r>
    <r>
      <rPr>
        <sz val="12"/>
        <rFont val="Times New Roman"/>
        <family val="1"/>
      </rPr>
      <t>M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=M</t>
    </r>
    <r>
      <rPr>
        <sz val="12"/>
        <rFont val="Times New Roman"/>
        <family val="1"/>
      </rPr>
      <t>/1.25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(KN·m)</t>
    </r>
  </si>
  <si>
    <r>
      <t>ρ</t>
    </r>
    <r>
      <rPr>
        <vertAlign val="subscript"/>
        <sz val="12"/>
        <rFont val="Times New Roman"/>
        <family val="1"/>
      </rPr>
      <t>te</t>
    </r>
    <r>
      <rPr>
        <sz val="12"/>
        <rFont val="Times New Roman"/>
        <family val="1"/>
      </rPr>
      <t>=A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/0.5b</t>
    </r>
    <r>
      <rPr>
        <sz val="12"/>
        <rFont val="Times New Roman"/>
        <family val="1"/>
      </rPr>
      <t>h</t>
    </r>
    <r>
      <rPr>
        <sz val="12"/>
        <rFont val="Times New Roman"/>
        <family val="1"/>
      </rPr>
      <t xml:space="preserve"> </t>
    </r>
  </si>
  <si>
    <r>
      <t>ψ</t>
    </r>
    <r>
      <rPr>
        <sz val="12"/>
        <rFont val="Times New Roman"/>
        <family val="1"/>
      </rPr>
      <t>=1.1-0.65f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ρ</t>
    </r>
    <r>
      <rPr>
        <vertAlign val="subscript"/>
        <sz val="12"/>
        <rFont val="Times New Roman"/>
        <family val="1"/>
      </rPr>
      <t>te</t>
    </r>
    <r>
      <rPr>
        <sz val="12"/>
        <rFont val="宋体"/>
        <family val="0"/>
      </rPr>
      <t>σ</t>
    </r>
    <r>
      <rPr>
        <vertAlign val="subscript"/>
        <sz val="12"/>
        <rFont val="Times New Roman"/>
        <family val="1"/>
      </rPr>
      <t>sk</t>
    </r>
  </si>
  <si>
    <r>
      <t>受拉区纵筋等效直径</t>
    </r>
    <r>
      <rPr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eq</t>
    </r>
    <r>
      <rPr>
        <sz val="12"/>
        <rFont val="Times New Roman"/>
        <family val="1"/>
      </rPr>
      <t>=d/</t>
    </r>
    <r>
      <rPr>
        <sz val="12"/>
        <rFont val="宋体"/>
        <family val="0"/>
      </rPr>
      <t>ν</t>
    </r>
    <r>
      <rPr>
        <sz val="12"/>
        <rFont val="Times New Roman"/>
        <family val="1"/>
      </rPr>
      <t xml:space="preserve"> (mm)</t>
    </r>
  </si>
  <si>
    <r>
      <t>σ</t>
    </r>
    <r>
      <rPr>
        <vertAlign val="subscript"/>
        <sz val="12"/>
        <rFont val="Times New Roman"/>
        <family val="1"/>
      </rPr>
      <t>sk</t>
    </r>
    <r>
      <rPr>
        <sz val="12"/>
        <rFont val="Times New Roman"/>
        <family val="1"/>
      </rPr>
      <t>=M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η</t>
    </r>
    <r>
      <rPr>
        <sz val="12"/>
        <rFont val="Times New Roman"/>
        <family val="1"/>
      </rPr>
      <t>h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>A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</si>
  <si>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构件受力特征系数α</t>
    </r>
    <r>
      <rPr>
        <vertAlign val="subscript"/>
        <sz val="12"/>
        <rFont val="Times New Roman"/>
        <family val="1"/>
      </rPr>
      <t>cr</t>
    </r>
    <r>
      <rPr>
        <sz val="12"/>
        <rFont val="Times New Roman"/>
        <family val="1"/>
      </rPr>
      <t xml:space="preserve"> </t>
    </r>
  </si>
  <si>
    <t>纵向受拉钢筋表面特征系数ν</t>
  </si>
  <si>
    <r>
      <t>钢筋弹性模量</t>
    </r>
    <r>
      <rPr>
        <sz val="12"/>
        <rFont val="Times New Roman"/>
        <family val="1"/>
      </rPr>
      <t>E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</si>
  <si>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混凝土抗拉标准值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 xml:space="preserve"> (N/mm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</si>
  <si>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ρ</t>
    </r>
    <r>
      <rPr>
        <vertAlign val="subscript"/>
        <sz val="12"/>
        <rFont val="Times New Roman"/>
        <family val="1"/>
      </rPr>
      <t>te</t>
    </r>
    <r>
      <rPr>
        <sz val="12"/>
        <rFont val="宋体"/>
        <family val="0"/>
      </rPr>
      <t>实际取值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ρ</t>
    </r>
    <r>
      <rPr>
        <vertAlign val="subscript"/>
        <sz val="12"/>
        <rFont val="Times New Roman"/>
        <family val="1"/>
      </rPr>
      <t>te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0.01</t>
    </r>
    <r>
      <rPr>
        <sz val="12"/>
        <rFont val="Times New Roman"/>
        <family val="1"/>
      </rPr>
      <t>)</t>
    </r>
  </si>
  <si>
    <r>
      <t>应变不均匀系数ψ实际取值</t>
    </r>
    <r>
      <rPr>
        <sz val="12"/>
        <rFont val="Times New Roman"/>
        <family val="1"/>
      </rPr>
      <t>(0.2</t>
    </r>
    <r>
      <rPr>
        <sz val="12"/>
        <rFont val="宋体"/>
        <family val="0"/>
      </rPr>
      <t>≤ψ≤</t>
    </r>
    <r>
      <rPr>
        <sz val="12"/>
        <rFont val="Times New Roman"/>
        <family val="1"/>
      </rPr>
      <t>1.0)</t>
    </r>
  </si>
  <si>
    <r>
      <t>最外层受拉钢筋外边缘至受拉底边距离</t>
    </r>
    <r>
      <rPr>
        <sz val="12"/>
        <rFont val="Times New Roman"/>
        <family val="1"/>
      </rPr>
      <t>c (mm)</t>
    </r>
  </si>
  <si>
    <r>
      <t>最大裂缝宽度ω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α</t>
    </r>
    <r>
      <rPr>
        <vertAlign val="subscript"/>
        <sz val="12"/>
        <rFont val="Times New Roman"/>
        <family val="1"/>
      </rPr>
      <t>cr</t>
    </r>
    <r>
      <rPr>
        <sz val="12"/>
        <rFont val="宋体"/>
        <family val="0"/>
      </rPr>
      <t>ψσ</t>
    </r>
    <r>
      <rPr>
        <vertAlign val="subscript"/>
        <sz val="12"/>
        <rFont val="Times New Roman"/>
        <family val="1"/>
      </rPr>
      <t>sk</t>
    </r>
    <r>
      <rPr>
        <sz val="12"/>
        <rFont val="Times New Roman"/>
        <family val="1"/>
      </rPr>
      <t>/E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(1.9c+0.08d</t>
    </r>
    <r>
      <rPr>
        <vertAlign val="subscript"/>
        <sz val="12"/>
        <rFont val="Times New Roman"/>
        <family val="1"/>
      </rPr>
      <t>eq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ρ</t>
    </r>
    <r>
      <rPr>
        <vertAlign val="subscript"/>
        <sz val="12"/>
        <rFont val="Times New Roman"/>
        <family val="1"/>
      </rPr>
      <t>te</t>
    </r>
    <r>
      <rPr>
        <sz val="12"/>
        <rFont val="Times New Roman"/>
        <family val="1"/>
      </rPr>
      <t>) (mm)</t>
    </r>
  </si>
  <si>
    <r>
      <t>系数α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</si>
  <si>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>截面抵抗矩系数α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>=M/</t>
    </r>
    <r>
      <rPr>
        <sz val="12"/>
        <rFont val="宋体"/>
        <family val="0"/>
      </rPr>
      <t>α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>bh</t>
    </r>
    <r>
      <rPr>
        <vertAlign val="subscript"/>
        <sz val="12"/>
        <rFont val="Times New Roman"/>
        <family val="1"/>
      </rPr>
      <t>0</t>
    </r>
    <r>
      <rPr>
        <vertAlign val="superscript"/>
        <sz val="12"/>
        <rFont val="Times New Roman"/>
        <family val="1"/>
      </rPr>
      <t>2</t>
    </r>
  </si>
  <si>
    <r>
      <t>最大裂缝宽度限值ω</t>
    </r>
    <r>
      <rPr>
        <vertAlign val="subscript"/>
        <sz val="12"/>
        <rFont val="Times New Roman"/>
        <family val="1"/>
      </rPr>
      <t>lim</t>
    </r>
    <r>
      <rPr>
        <sz val="12"/>
        <rFont val="Times New Roman"/>
        <family val="1"/>
      </rPr>
      <t xml:space="preserve"> (mm)</t>
    </r>
  </si>
  <si>
    <r>
      <t>验算ω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≤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ω</t>
    </r>
    <r>
      <rPr>
        <vertAlign val="subscript"/>
        <sz val="12"/>
        <rFont val="Times New Roman"/>
        <family val="1"/>
      </rPr>
      <t>lim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</si>
</sst>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_ ;[Red]\-0.00\ "/>
    <numFmt numFmtId="179" formatCode="0.000_ "/>
    <numFmt numFmtId="180" formatCode="0_ "/>
    <numFmt numFmtId="181" formatCode="0.0_ "/>
    <numFmt numFmtId="182" formatCode="0.0000_ "/>
    <numFmt numFmtId="183" formatCode="0.0E+00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8"/>
      <name val="宋体"/>
      <family val="0"/>
    </font>
    <font>
      <vertAlign val="superscript"/>
      <sz val="12"/>
      <name val="Times New Roman"/>
      <family val="1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81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83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35"/>
          <c:order val="0"/>
          <c:tx>
            <c:v>叠加弯距Mx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numRef>
              <c:f>'简支梁'!$C$7:$M$7</c:f>
              <c:numCache/>
            </c:numRef>
          </c:xVal>
          <c:yVal>
            <c:numRef>
              <c:f>'简支梁'!$C$43:$M$43</c:f>
              <c:numCache/>
            </c:numRef>
          </c:yVal>
          <c:smooth val="1"/>
        </c:ser>
        <c:axId val="20938908"/>
        <c:axId val="54232445"/>
      </c:scatterChart>
      <c:valAx>
        <c:axId val="20938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4232445"/>
        <c:crosses val="autoZero"/>
        <c:crossBetween val="midCat"/>
        <c:dispUnits/>
      </c:valAx>
      <c:valAx>
        <c:axId val="542324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Mx (KN·m)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09389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35"/>
          <c:order val="0"/>
          <c:tx>
            <c:v>叠加弯距Mx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numRef>
              <c:f>'简固梁'!$C$8:$M$8</c:f>
              <c:numCache/>
            </c:numRef>
          </c:xVal>
          <c:yVal>
            <c:numRef>
              <c:f>'简固梁'!$C$46:$M$46</c:f>
              <c:numCache/>
            </c:numRef>
          </c:yVal>
          <c:smooth val="1"/>
        </c:ser>
        <c:axId val="18329958"/>
        <c:axId val="30751895"/>
      </c:scatterChart>
      <c:valAx>
        <c:axId val="183299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0751895"/>
        <c:crosses val="autoZero"/>
        <c:crossBetween val="midCat"/>
        <c:dispUnits/>
      </c:valAx>
      <c:valAx>
        <c:axId val="307518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Mx (KN·m)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183299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35"/>
          <c:order val="0"/>
          <c:tx>
            <c:v>叠加弯距Mx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xVal>
            <c:numRef>
              <c:f>'固定梁'!$C$8:$M$8</c:f>
              <c:numCache/>
            </c:numRef>
          </c:xVal>
          <c:yVal>
            <c:numRef>
              <c:f>'固定梁'!$C$46:$M$46</c:f>
              <c:numCache/>
            </c:numRef>
          </c:yVal>
          <c:smooth val="1"/>
        </c:ser>
        <c:axId val="8331600"/>
        <c:axId val="7875537"/>
      </c:scatterChart>
      <c:valAx>
        <c:axId val="83316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7875537"/>
        <c:crosses val="autoZero"/>
        <c:crossBetween val="midCat"/>
        <c:dispUnits/>
      </c:valAx>
      <c:valAx>
        <c:axId val="787553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宋体"/>
                    <a:ea typeface="宋体"/>
                    <a:cs typeface="宋体"/>
                  </a:rPr>
                  <a:t>Mx (KN·m)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83316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4</xdr:row>
      <xdr:rowOff>28575</xdr:rowOff>
    </xdr:from>
    <xdr:to>
      <xdr:col>19</xdr:col>
      <xdr:colOff>0</xdr:colOff>
      <xdr:row>38</xdr:row>
      <xdr:rowOff>28575</xdr:rowOff>
    </xdr:to>
    <xdr:graphicFrame>
      <xdr:nvGraphicFramePr>
        <xdr:cNvPr id="1" name="Chart 3"/>
        <xdr:cNvGraphicFramePr/>
      </xdr:nvGraphicFramePr>
      <xdr:xfrm>
        <a:off x="9563100" y="828675"/>
        <a:ext cx="40290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4</xdr:row>
      <xdr:rowOff>28575</xdr:rowOff>
    </xdr:from>
    <xdr:to>
      <xdr:col>19</xdr:col>
      <xdr:colOff>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63100" y="828675"/>
        <a:ext cx="40290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4</xdr:row>
      <xdr:rowOff>28575</xdr:rowOff>
    </xdr:from>
    <xdr:to>
      <xdr:col>19</xdr:col>
      <xdr:colOff>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63100" y="828675"/>
        <a:ext cx="40290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H24" sqref="H24"/>
    </sheetView>
  </sheetViews>
  <sheetFormatPr defaultColWidth="9.00390625" defaultRowHeight="14.25"/>
  <cols>
    <col min="1" max="13" width="9.625" style="1" customWidth="1"/>
    <col min="14" max="15" width="8.625" style="0" customWidth="1"/>
  </cols>
  <sheetData>
    <row r="1" spans="1:6" ht="15.75" customHeight="1">
      <c r="A1" s="37" t="s">
        <v>1</v>
      </c>
      <c r="B1" s="37"/>
      <c r="C1" s="2"/>
      <c r="D1" s="2"/>
      <c r="E1" s="2"/>
      <c r="F1" s="2"/>
    </row>
    <row r="2" spans="1:3" ht="15.75" customHeight="1">
      <c r="A2" s="34" t="s">
        <v>0</v>
      </c>
      <c r="B2" s="34"/>
      <c r="C2" s="3">
        <v>2500</v>
      </c>
    </row>
    <row r="3" ht="15.75" customHeight="1"/>
    <row r="4" spans="1:6" ht="15.75" customHeight="1">
      <c r="A4" s="37" t="s">
        <v>5</v>
      </c>
      <c r="B4" s="37"/>
      <c r="C4" s="2"/>
      <c r="D4" s="2"/>
      <c r="E4" s="2"/>
      <c r="F4" s="2"/>
    </row>
    <row r="5" spans="1:8" ht="15.75" customHeight="1">
      <c r="A5" s="4" t="s">
        <v>6</v>
      </c>
      <c r="B5" s="3">
        <v>0</v>
      </c>
      <c r="C5" s="34" t="s">
        <v>2</v>
      </c>
      <c r="D5" s="34"/>
      <c r="E5" s="3">
        <v>500</v>
      </c>
      <c r="F5" s="34" t="s">
        <v>3</v>
      </c>
      <c r="G5" s="34"/>
      <c r="H5" s="3">
        <f>C2-E5</f>
        <v>2000</v>
      </c>
    </row>
    <row r="6" spans="1:8" ht="15.75" customHeight="1">
      <c r="A6" s="36" t="s">
        <v>8</v>
      </c>
      <c r="B6" s="36"/>
      <c r="C6" s="36"/>
      <c r="D6" s="5">
        <f>IF(C2&gt;0,B5*H5/C2,"")</f>
        <v>0</v>
      </c>
      <c r="E6" s="36" t="s">
        <v>9</v>
      </c>
      <c r="F6" s="36"/>
      <c r="G6" s="36"/>
      <c r="H6" s="5">
        <f>IF(C2&gt;0,B5*E5/C2,"")</f>
        <v>0</v>
      </c>
    </row>
    <row r="7" spans="1:13" ht="15.75" customHeight="1">
      <c r="A7" s="34" t="s">
        <v>7</v>
      </c>
      <c r="B7" s="35"/>
      <c r="C7" s="4">
        <v>0</v>
      </c>
      <c r="D7" s="4">
        <f>0.1*C2</f>
        <v>250</v>
      </c>
      <c r="E7" s="4">
        <f>0.2*C2</f>
        <v>500</v>
      </c>
      <c r="F7" s="4">
        <f>0.3*C2</f>
        <v>750</v>
      </c>
      <c r="G7" s="4">
        <f>0.4*C2</f>
        <v>1000</v>
      </c>
      <c r="H7" s="4">
        <f>0.5*C2</f>
        <v>1250</v>
      </c>
      <c r="I7" s="4">
        <f>0.6*C2</f>
        <v>1500</v>
      </c>
      <c r="J7" s="4">
        <f>0.7*C2</f>
        <v>1750</v>
      </c>
      <c r="K7" s="4">
        <f>0.8*C2</f>
        <v>2000</v>
      </c>
      <c r="L7" s="4">
        <f>0.9*C2</f>
        <v>2250</v>
      </c>
      <c r="M7" s="4">
        <f>C2</f>
        <v>2500</v>
      </c>
    </row>
    <row r="8" spans="1:13" ht="15.75" customHeight="1">
      <c r="A8" s="34" t="s">
        <v>4</v>
      </c>
      <c r="B8" s="34"/>
      <c r="C8" s="6">
        <f>IF(C7&lt;=E5,0,B5*E5/1000)</f>
        <v>0</v>
      </c>
      <c r="D8" s="6">
        <f>IF(D7&lt;=E5,0.1*B5*H5/1000,0.9*B5*E5/1000)</f>
        <v>0</v>
      </c>
      <c r="E8" s="6">
        <f>IF(E7&lt;=E5,0.2*B5*H5/1000,0.8*B5*E5/1000)</f>
        <v>0</v>
      </c>
      <c r="F8" s="6">
        <f>IF(F7&lt;=E5,0.3*B5*H5/1000,0.7*B5*E5/1000)</f>
        <v>0</v>
      </c>
      <c r="G8" s="6">
        <f>IF(G7&lt;=E5,0.4*B5*H5/1000,0.6*B5*E5/1000)</f>
        <v>0</v>
      </c>
      <c r="H8" s="6">
        <f>IF(H7&lt;=E5,0.5*B5*H5/1000,0.5*B5*E5/1000)</f>
        <v>0</v>
      </c>
      <c r="I8" s="6">
        <f>IF(I7&lt;=E5,0.6*B5*H5/1000,0.4*B5*E5/1000)</f>
        <v>0</v>
      </c>
      <c r="J8" s="6">
        <f>IF(J7&lt;=E5,0.7*B5*H5/1000,0.3*B5*E5/1000)</f>
        <v>0</v>
      </c>
      <c r="K8" s="6">
        <f>IF(K7&lt;=E5,0.8*B5*H5/1000,0.2*B5*E5/1000)</f>
        <v>0</v>
      </c>
      <c r="L8" s="6">
        <f>IF(L7&lt;=E5,0.9*B5*H5/1000,0.1*B5*E5/1000)</f>
        <v>0</v>
      </c>
      <c r="M8" s="6">
        <f>IF(M7&lt;=E5,B5*H5/1000,0)</f>
        <v>0</v>
      </c>
    </row>
    <row r="9" ht="15.75" customHeight="1"/>
    <row r="10" spans="1:6" ht="15.75" customHeight="1">
      <c r="A10" s="37" t="s">
        <v>5</v>
      </c>
      <c r="B10" s="37"/>
      <c r="C10" s="2"/>
      <c r="D10" s="2"/>
      <c r="E10" s="2"/>
      <c r="F10" s="2"/>
    </row>
    <row r="11" spans="1:8" ht="15.75" customHeight="1">
      <c r="A11" s="4" t="s">
        <v>6</v>
      </c>
      <c r="B11" s="3">
        <v>0</v>
      </c>
      <c r="C11" s="34" t="s">
        <v>2</v>
      </c>
      <c r="D11" s="34"/>
      <c r="E11" s="3">
        <v>500</v>
      </c>
      <c r="F11" s="34" t="s">
        <v>3</v>
      </c>
      <c r="G11" s="34"/>
      <c r="H11" s="3">
        <f>C2-E11</f>
        <v>2000</v>
      </c>
    </row>
    <row r="12" spans="1:8" ht="15.75" customHeight="1">
      <c r="A12" s="34" t="s">
        <v>8</v>
      </c>
      <c r="B12" s="34"/>
      <c r="C12" s="34"/>
      <c r="D12" s="3">
        <f>IF(C2&gt;0,B11*H11/C2,"")</f>
        <v>0</v>
      </c>
      <c r="E12" s="34" t="s">
        <v>9</v>
      </c>
      <c r="F12" s="34"/>
      <c r="G12" s="34"/>
      <c r="H12" s="3">
        <f>IF(C2&gt;0,B11*E11/C2,"")</f>
        <v>0</v>
      </c>
    </row>
    <row r="13" spans="1:13" ht="15.75" customHeight="1">
      <c r="A13" s="34" t="s">
        <v>7</v>
      </c>
      <c r="B13" s="35"/>
      <c r="C13" s="4">
        <v>0</v>
      </c>
      <c r="D13" s="4">
        <f>0.1*C2</f>
        <v>250</v>
      </c>
      <c r="E13" s="4">
        <f>0.2*C2</f>
        <v>500</v>
      </c>
      <c r="F13" s="4">
        <f>0.3*C2</f>
        <v>750</v>
      </c>
      <c r="G13" s="4">
        <f>0.4*C2</f>
        <v>1000</v>
      </c>
      <c r="H13" s="4">
        <f>0.5*C2</f>
        <v>1250</v>
      </c>
      <c r="I13" s="4">
        <f>0.6*C2</f>
        <v>1500</v>
      </c>
      <c r="J13" s="4">
        <f>0.7*C2</f>
        <v>1750</v>
      </c>
      <c r="K13" s="4">
        <f>0.8*C2</f>
        <v>2000</v>
      </c>
      <c r="L13" s="4">
        <f>0.9*C2</f>
        <v>2250</v>
      </c>
      <c r="M13" s="4">
        <f>C2</f>
        <v>2500</v>
      </c>
    </row>
    <row r="14" spans="1:13" ht="15.75" customHeight="1">
      <c r="A14" s="34" t="s">
        <v>4</v>
      </c>
      <c r="B14" s="34"/>
      <c r="C14" s="6">
        <f>IF(C13&lt;=E11,0,B11*E11/1000)</f>
        <v>0</v>
      </c>
      <c r="D14" s="6">
        <f>IF(D13&lt;=E11,0.1*B11*H11/1000,0.9*B11*E11/1000)</f>
        <v>0</v>
      </c>
      <c r="E14" s="6">
        <f>IF(E13&lt;=E11,0.2*B11*H11/1000,0.8*B11*E11/1000)</f>
        <v>0</v>
      </c>
      <c r="F14" s="6">
        <f>IF(F13&lt;=E11,0.3*B11*H11/1000,0.7*B11*E11/1000)</f>
        <v>0</v>
      </c>
      <c r="G14" s="6">
        <f>IF(G13&lt;=E11,0.4*B11*H11/1000,0.6*B11*E11/1000)</f>
        <v>0</v>
      </c>
      <c r="H14" s="6">
        <f>IF(H13&lt;=E11,0.5*B11*H11/1000,0.5*B11*E11/1000)</f>
        <v>0</v>
      </c>
      <c r="I14" s="6">
        <f>IF(I13&lt;=E11,0.6*B11*H11/1000,0.4*B11*E11/1000)</f>
        <v>0</v>
      </c>
      <c r="J14" s="6">
        <f>IF(J13&lt;=E11,0.7*B11*H11/1000,0.3*B11*E11/1000)</f>
        <v>0</v>
      </c>
      <c r="K14" s="6">
        <f>IF(K13&lt;=E11,0.8*B11*H11/1000,0.2*B11*E11/1000)</f>
        <v>0</v>
      </c>
      <c r="L14" s="6">
        <f>IF(L13&lt;=E11,0.9*B11*H11/1000,0.1*B11*E11/1000)</f>
        <v>0</v>
      </c>
      <c r="M14" s="6">
        <f>IF(M13&lt;=E11,B11*H11/1000,0)</f>
        <v>0</v>
      </c>
    </row>
    <row r="15" ht="15.75" customHeight="1"/>
    <row r="16" spans="1:6" ht="15.75" customHeight="1">
      <c r="A16" s="37" t="s">
        <v>5</v>
      </c>
      <c r="B16" s="37"/>
      <c r="C16" s="2"/>
      <c r="D16" s="2"/>
      <c r="E16" s="2"/>
      <c r="F16" s="2"/>
    </row>
    <row r="17" spans="1:8" ht="15.75" customHeight="1">
      <c r="A17" s="4" t="s">
        <v>6</v>
      </c>
      <c r="B17" s="3">
        <v>0</v>
      </c>
      <c r="C17" s="34" t="s">
        <v>2</v>
      </c>
      <c r="D17" s="34"/>
      <c r="E17" s="3">
        <v>500</v>
      </c>
      <c r="F17" s="34" t="s">
        <v>3</v>
      </c>
      <c r="G17" s="34"/>
      <c r="H17" s="3">
        <f>C2-E17</f>
        <v>2000</v>
      </c>
    </row>
    <row r="18" spans="1:8" ht="15.75" customHeight="1">
      <c r="A18" s="34" t="s">
        <v>8</v>
      </c>
      <c r="B18" s="34"/>
      <c r="C18" s="34"/>
      <c r="D18" s="3">
        <f>IF(C2&gt;0,B17*H17/C2,"")</f>
        <v>0</v>
      </c>
      <c r="E18" s="34" t="s">
        <v>9</v>
      </c>
      <c r="F18" s="34"/>
      <c r="G18" s="34"/>
      <c r="H18" s="3">
        <f>IF(C2&gt;0,B17*E17/C2,"")</f>
        <v>0</v>
      </c>
    </row>
    <row r="19" spans="1:13" ht="15.75" customHeight="1">
      <c r="A19" s="34" t="s">
        <v>7</v>
      </c>
      <c r="B19" s="35"/>
      <c r="C19" s="4">
        <v>0</v>
      </c>
      <c r="D19" s="4">
        <f>0.1*C2</f>
        <v>250</v>
      </c>
      <c r="E19" s="4">
        <f>0.2*C2</f>
        <v>500</v>
      </c>
      <c r="F19" s="4">
        <f>0.3*C2</f>
        <v>750</v>
      </c>
      <c r="G19" s="4">
        <f>0.4*C2</f>
        <v>1000</v>
      </c>
      <c r="H19" s="4">
        <f>0.5*C2</f>
        <v>1250</v>
      </c>
      <c r="I19" s="4">
        <f>0.6*C2</f>
        <v>1500</v>
      </c>
      <c r="J19" s="4">
        <f>0.7*C2</f>
        <v>1750</v>
      </c>
      <c r="K19" s="4">
        <f>0.8*C2</f>
        <v>2000</v>
      </c>
      <c r="L19" s="4">
        <f>0.9*C2</f>
        <v>2250</v>
      </c>
      <c r="M19" s="4">
        <f>C2</f>
        <v>2500</v>
      </c>
    </row>
    <row r="20" spans="1:13" ht="15.75" customHeight="1">
      <c r="A20" s="34" t="s">
        <v>4</v>
      </c>
      <c r="B20" s="34"/>
      <c r="C20" s="6">
        <f>IF(C19&lt;=E17,0,B17*E17/1000)</f>
        <v>0</v>
      </c>
      <c r="D20" s="6">
        <f>IF(D19&lt;=E17,0.1*B17*H17/1000,0.9*B17*E17/1000)</f>
        <v>0</v>
      </c>
      <c r="E20" s="6">
        <f>IF(E19&lt;=E17,0.2*B17*H17/1000,0.8*B17*E17/1000)</f>
        <v>0</v>
      </c>
      <c r="F20" s="6">
        <f>IF(F19&lt;=E17,0.3*B17*H17/1000,0.7*B17*E17/1000)</f>
        <v>0</v>
      </c>
      <c r="G20" s="6">
        <f>IF(G19&lt;=E17,0.4*B17*H17/1000,0.6*B17*E17/1000)</f>
        <v>0</v>
      </c>
      <c r="H20" s="6">
        <f>IF(H19&lt;=E17,0.5*B17*H17/1000,0.5*B17*E17/1000)</f>
        <v>0</v>
      </c>
      <c r="I20" s="6">
        <f>IF(I19&lt;=E17,0.6*B17*H17/1000,0.4*B17*E17/1000)</f>
        <v>0</v>
      </c>
      <c r="J20" s="6">
        <f>IF(J19&lt;=E17,0.7*B17*H17/1000,0.3*B17*E17/1000)</f>
        <v>0</v>
      </c>
      <c r="K20" s="6">
        <f>IF(K19&lt;=E17,0.8*B17*H17/1000,0.2*B17*E17/1000)</f>
        <v>0</v>
      </c>
      <c r="L20" s="6">
        <f>IF(L19&lt;=E17,0.9*B17*H17/1000,0.1*B17*E17/1000)</f>
        <v>0</v>
      </c>
      <c r="M20" s="6">
        <f>IF(M19&lt;=E17,B17*H17/1000,0)</f>
        <v>0</v>
      </c>
    </row>
    <row r="21" ht="15.75" customHeight="1"/>
    <row r="22" spans="1:2" ht="15.75" customHeight="1">
      <c r="A22" s="37" t="s">
        <v>17</v>
      </c>
      <c r="B22" s="37"/>
    </row>
    <row r="23" spans="1:8" ht="15.75" customHeight="1">
      <c r="A23" s="4" t="s">
        <v>10</v>
      </c>
      <c r="B23" s="3">
        <v>30</v>
      </c>
      <c r="C23" s="34" t="s">
        <v>11</v>
      </c>
      <c r="D23" s="34"/>
      <c r="E23" s="3">
        <v>0</v>
      </c>
      <c r="F23" s="34" t="s">
        <v>12</v>
      </c>
      <c r="G23" s="34"/>
      <c r="H23" s="3">
        <v>2500</v>
      </c>
    </row>
    <row r="24" spans="1:8" ht="15.75" customHeight="1">
      <c r="A24" s="34" t="s">
        <v>13</v>
      </c>
      <c r="B24" s="34"/>
      <c r="C24" s="34"/>
      <c r="D24" s="3">
        <f>E23+H23/2</f>
        <v>1250</v>
      </c>
      <c r="E24" s="34" t="s">
        <v>14</v>
      </c>
      <c r="F24" s="34"/>
      <c r="G24" s="34"/>
      <c r="H24" s="3">
        <f>C2-D24</f>
        <v>1250</v>
      </c>
    </row>
    <row r="25" spans="1:8" ht="15.75" customHeight="1">
      <c r="A25" s="34" t="s">
        <v>15</v>
      </c>
      <c r="B25" s="34"/>
      <c r="C25" s="34"/>
      <c r="D25" s="3">
        <f>B23*H23*H24/C2/1000</f>
        <v>37.5</v>
      </c>
      <c r="E25" s="34" t="s">
        <v>16</v>
      </c>
      <c r="F25" s="34"/>
      <c r="G25" s="34"/>
      <c r="H25" s="3">
        <f>B23*H23*D24/C2/1000</f>
        <v>37.5</v>
      </c>
    </row>
    <row r="26" spans="1:13" ht="15.75" customHeight="1">
      <c r="A26" s="34" t="s">
        <v>7</v>
      </c>
      <c r="B26" s="35"/>
      <c r="C26" s="4">
        <v>0</v>
      </c>
      <c r="D26" s="4">
        <f>0.1*C2</f>
        <v>250</v>
      </c>
      <c r="E26" s="4">
        <f>0.2*C2</f>
        <v>500</v>
      </c>
      <c r="F26" s="4">
        <f>0.3*C2</f>
        <v>750</v>
      </c>
      <c r="G26" s="4">
        <f>0.4*C2</f>
        <v>1000</v>
      </c>
      <c r="H26" s="4">
        <f>0.5*C2</f>
        <v>1250</v>
      </c>
      <c r="I26" s="4">
        <f>0.6*C2</f>
        <v>1500</v>
      </c>
      <c r="J26" s="4">
        <f>0.7*C2</f>
        <v>1750</v>
      </c>
      <c r="K26" s="4">
        <f>0.8*C2</f>
        <v>2000</v>
      </c>
      <c r="L26" s="4">
        <f>0.9*C2</f>
        <v>2250</v>
      </c>
      <c r="M26" s="4">
        <f>C2</f>
        <v>2500</v>
      </c>
    </row>
    <row r="27" spans="1:13" ht="15.75" customHeight="1">
      <c r="A27" s="34" t="s">
        <v>4</v>
      </c>
      <c r="B27" s="34"/>
      <c r="C27" s="6">
        <f>IF(C26&lt;=E23,D25*C26/1000,IF(C26&lt;=E23+H23,B23*H23*(H24*C26/C2-(C26-E23)^2/(2*H23))/10^6,B23*H23*D24*(1-C26/C2)/10^6))</f>
        <v>0</v>
      </c>
      <c r="D27" s="6">
        <f>IF(D26&lt;=E23,D25*D26/1000,IF(D26&lt;=E23+H23,B23*H23*(H24*D26/C2-(D26-E23)^2/(2*H23))/10^6,B23*H23*D24*(1-D26/C2)/10^6))</f>
        <v>8.4375</v>
      </c>
      <c r="E27" s="6">
        <f>IF(E26&lt;=E23,D25*E26/1000,IF(E26&lt;=E23+H23,B23*H23*(H24*E26/C2-(E26-E23)^2/(2*H23))/10^6,B23*H23*D24*(1-E26/C2)/10^6))</f>
        <v>15</v>
      </c>
      <c r="F27" s="6">
        <f>IF(F26&lt;=E23,D25*F26/1000,IF(F26&lt;=E23+H23,B23*H23*(H24*F26/C2-(F26-E23)^2/(2*H23))/10^6,B23*H23*D24*(1-F26/C2)/10^6))</f>
        <v>19.6875</v>
      </c>
      <c r="G27" s="6">
        <f>IF(G26&lt;=E23,D25*G26/1000,IF(G26&lt;=E23+H23,B23*H23*(H24*G26/C2-(G26-E23)^2/(2*H23))/10^6,B23*H23*D24*(1-G26/C2)/10^6))</f>
        <v>22.5</v>
      </c>
      <c r="H27" s="6">
        <f>IF(H26&lt;=E23,D25*H26/1000,IF(H26&lt;=E23+H23,B23*H23*(H24*H26/C2-(H26-E23)^2/(2*H23))/10^6,B23*H23*D24*(1-H26/C2)/10^6))</f>
        <v>23.4375</v>
      </c>
      <c r="I27" s="6">
        <f>IF(I26&lt;=E23,D25*I26/1000,IF(I26&lt;=E23+H23,B23*H23*(H24*I26/C2-(I26-E23)^2/(2*H23))/10^6,B23*H23*D24*(1-I26/C2)/10^6))</f>
        <v>22.5</v>
      </c>
      <c r="J27" s="6">
        <f>IF(J26&lt;=E23,D25*J26/1000,IF(J26&lt;=E23+H23,B23*H23*(H24*J26/C2-(J26-E23)^2/(2*H23))/10^6,B23*H23*D24*(1-J26/C2)/10^6))</f>
        <v>19.6875</v>
      </c>
      <c r="K27" s="6">
        <f>IF(K26&lt;=E23,D25*K26/1000,IF(K26&lt;=E23+H23,B23*H23*(H24*K26/C2-(K26-E23)^2/(2*H23))/10^6,B23*H23*D24*(1-K26/C2)/10^6))</f>
        <v>15</v>
      </c>
      <c r="L27" s="6">
        <f>IF(L26&lt;=E23,D25*L26/1000,IF(L26&lt;=E23+H23,B23*H23*(H24*L26/C2-(L26-E23)^2/(2*H23))/10^6,B23*H23*D24*(1-L26/C2)/10^6))</f>
        <v>8.4375</v>
      </c>
      <c r="M27" s="6">
        <f>IF(M26&lt;=E23,D25*M26/1000,IF(M26&lt;=E23+H23,B23*H23*(H24*M26/C2-(M26-E23)^2/(2*H23))/10^6,B23*H23*D24*(1-M26/C2)/10^6))</f>
        <v>0</v>
      </c>
    </row>
    <row r="28" ht="15.75" customHeight="1"/>
    <row r="29" spans="1:2" ht="15.75" customHeight="1">
      <c r="A29" s="37" t="s">
        <v>17</v>
      </c>
      <c r="B29" s="37"/>
    </row>
    <row r="30" spans="1:8" ht="15.75" customHeight="1">
      <c r="A30" s="4" t="s">
        <v>10</v>
      </c>
      <c r="B30" s="3">
        <v>0</v>
      </c>
      <c r="C30" s="34" t="s">
        <v>11</v>
      </c>
      <c r="D30" s="34"/>
      <c r="E30" s="3">
        <v>300</v>
      </c>
      <c r="F30" s="34" t="s">
        <v>12</v>
      </c>
      <c r="G30" s="34"/>
      <c r="H30" s="3">
        <v>400</v>
      </c>
    </row>
    <row r="31" spans="1:8" ht="15.75" customHeight="1">
      <c r="A31" s="34" t="s">
        <v>13</v>
      </c>
      <c r="B31" s="34"/>
      <c r="C31" s="34"/>
      <c r="D31" s="3">
        <f>E30+H30/2</f>
        <v>500</v>
      </c>
      <c r="E31" s="34" t="s">
        <v>14</v>
      </c>
      <c r="F31" s="34"/>
      <c r="G31" s="34"/>
      <c r="H31" s="3">
        <f>C2-D31</f>
        <v>2000</v>
      </c>
    </row>
    <row r="32" spans="1:8" ht="15.75" customHeight="1">
      <c r="A32" s="34" t="s">
        <v>15</v>
      </c>
      <c r="B32" s="34"/>
      <c r="C32" s="34"/>
      <c r="D32" s="3">
        <f>B30*H30*H31/C2/1000</f>
        <v>0</v>
      </c>
      <c r="E32" s="34" t="s">
        <v>16</v>
      </c>
      <c r="F32" s="34"/>
      <c r="G32" s="34"/>
      <c r="H32" s="3">
        <f>B30*H30*D31/C2/1000</f>
        <v>0</v>
      </c>
    </row>
    <row r="33" spans="1:13" ht="15.75" customHeight="1">
      <c r="A33" s="34" t="s">
        <v>7</v>
      </c>
      <c r="B33" s="35"/>
      <c r="C33" s="4">
        <v>0</v>
      </c>
      <c r="D33" s="4">
        <f>0.1*C2</f>
        <v>250</v>
      </c>
      <c r="E33" s="4">
        <f>0.2*C2</f>
        <v>500</v>
      </c>
      <c r="F33" s="4">
        <f>0.3*C2</f>
        <v>750</v>
      </c>
      <c r="G33" s="4">
        <f>0.4*C2</f>
        <v>1000</v>
      </c>
      <c r="H33" s="4">
        <f>0.5*C2</f>
        <v>1250</v>
      </c>
      <c r="I33" s="4">
        <f>0.6*C2</f>
        <v>1500</v>
      </c>
      <c r="J33" s="4">
        <f>0.7*C2</f>
        <v>1750</v>
      </c>
      <c r="K33" s="4">
        <f>0.8*C2</f>
        <v>2000</v>
      </c>
      <c r="L33" s="4">
        <f>0.9*C2</f>
        <v>2250</v>
      </c>
      <c r="M33" s="4">
        <f>C2</f>
        <v>2500</v>
      </c>
    </row>
    <row r="34" spans="1:13" ht="15.75" customHeight="1">
      <c r="A34" s="34" t="s">
        <v>4</v>
      </c>
      <c r="B34" s="34"/>
      <c r="C34" s="6">
        <f>IF(C33&lt;=E30,D32*C33/1000,IF(C33&lt;=E30+H30,B30*H30*(H31*C33/C2-(C33-E30)^2/(2*H30))/10^6,B30*H30*D31*(1-C33/C2)/10^6))</f>
        <v>0</v>
      </c>
      <c r="D34" s="6">
        <f>IF(D33&lt;=E30,D32*D33/1000,IF(D33&lt;=E30+H30,B30*H30*(H31*D33/C2-(D33-E30)^2/(2*H30))/10^6,B30*H30*D31*(1-D33/C2)/10^6))</f>
        <v>0</v>
      </c>
      <c r="E34" s="6">
        <f>IF(E33&lt;=E30,D32*E33/1000,IF(E33&lt;=E30+H30,B30*H30*(H31*E33/C2-(E33-E30)^2/(2*H30))/10^6,B30*H30*D31*(1-E33/C2)/10^6))</f>
        <v>0</v>
      </c>
      <c r="F34" s="6">
        <f>IF(F33&lt;=E30,D32*F33/1000,IF(F33&lt;=E30+H30,B30*H30*(H31*F33/C2-(F33-E30)^2/(2*H30))/10^6,B30*H30*D31*(1-F33/C2)/10^6))</f>
        <v>0</v>
      </c>
      <c r="G34" s="6">
        <f>IF(G33&lt;=E30,D32*G33/1000,IF(G33&lt;=E30+H30,B30*H30*(H31*G33/C2-(G33-E30)^2/(2*H30))/10^6,B30*H30*D31*(1-G33/C2)/10^6))</f>
        <v>0</v>
      </c>
      <c r="H34" s="6">
        <f>IF(H33&lt;=E30,D32*H33/1000,IF(H33&lt;=E30+H30,B30*H30*(H31*H33/C2-(H33-E30)^2/(2*H30))/10^6,B30*H30*D31*(1-H33/C2)/10^6))</f>
        <v>0</v>
      </c>
      <c r="I34" s="6">
        <f>IF(I33&lt;=E30,D32*I33/1000,IF(I33&lt;=E30+H30,B30*H30*(H31*I33/C2-(I33-E30)^2/(2*H30))/10^6,B30*H30*D31*(1-I33/C2)/10^6))</f>
        <v>0</v>
      </c>
      <c r="J34" s="6">
        <f>IF(J33&lt;=E30,D32*J33/1000,IF(J33&lt;=E30+H30,B30*H30*(H31*J33/C2-(J33-E30)^2/(2*H30))/10^6,B30*H30*D31*(1-J33/C2)/10^6))</f>
        <v>0</v>
      </c>
      <c r="K34" s="6">
        <f>IF(K33&lt;=E30,D32*K33/1000,IF(K33&lt;=E30+H30,B30*H30*(H31*K33/C2-(K33-E30)^2/(2*H30))/10^6,B30*H30*D31*(1-K33/C2)/10^6))</f>
        <v>0</v>
      </c>
      <c r="L34" s="6">
        <f>IF(L33&lt;=E30,D32*L33/1000,IF(L33&lt;=E30+H30,B30*H30*(H31*L33/C2-(L33-E30)^2/(2*H30))/10^6,B30*H30*D31*(1-L33/C2)/10^6))</f>
        <v>0</v>
      </c>
      <c r="M34" s="6">
        <f>IF(M33&lt;=E30,D32*M33/1000,IF(M33&lt;=E30+H30,B30*H30*(H31*M33/C2-(M33-E30)^2/(2*H30))/10^6,B30*H30*D31*(1-M33/C2)/10^6))</f>
        <v>0</v>
      </c>
    </row>
    <row r="35" ht="15.75" customHeight="1"/>
    <row r="36" spans="1:2" ht="15.75" customHeight="1">
      <c r="A36" s="37" t="s">
        <v>17</v>
      </c>
      <c r="B36" s="37"/>
    </row>
    <row r="37" spans="1:8" ht="15.75" customHeight="1">
      <c r="A37" s="4" t="s">
        <v>10</v>
      </c>
      <c r="B37" s="3">
        <v>0</v>
      </c>
      <c r="C37" s="34" t="s">
        <v>11</v>
      </c>
      <c r="D37" s="34"/>
      <c r="E37" s="3">
        <v>300</v>
      </c>
      <c r="F37" s="34" t="s">
        <v>12</v>
      </c>
      <c r="G37" s="34"/>
      <c r="H37" s="3">
        <v>400</v>
      </c>
    </row>
    <row r="38" spans="1:8" ht="15.75" customHeight="1">
      <c r="A38" s="34" t="s">
        <v>13</v>
      </c>
      <c r="B38" s="34"/>
      <c r="C38" s="34"/>
      <c r="D38" s="3">
        <f>E37+H37/2</f>
        <v>500</v>
      </c>
      <c r="E38" s="34" t="s">
        <v>14</v>
      </c>
      <c r="F38" s="34"/>
      <c r="G38" s="34"/>
      <c r="H38" s="3">
        <f>C2-D38</f>
        <v>2000</v>
      </c>
    </row>
    <row r="39" spans="1:8" ht="15.75" customHeight="1">
      <c r="A39" s="34" t="s">
        <v>15</v>
      </c>
      <c r="B39" s="34"/>
      <c r="C39" s="34"/>
      <c r="D39" s="3">
        <f>B37*H37*H38/C2/1000</f>
        <v>0</v>
      </c>
      <c r="E39" s="34" t="s">
        <v>16</v>
      </c>
      <c r="F39" s="34"/>
      <c r="G39" s="34"/>
      <c r="H39" s="3">
        <f>B37*H37*D38/C2/1000</f>
        <v>0</v>
      </c>
    </row>
    <row r="40" spans="1:13" ht="15.75" customHeight="1">
      <c r="A40" s="34" t="s">
        <v>7</v>
      </c>
      <c r="B40" s="35"/>
      <c r="C40" s="4">
        <v>0</v>
      </c>
      <c r="D40" s="4">
        <f>0.1*C2</f>
        <v>250</v>
      </c>
      <c r="E40" s="4">
        <f>0.2*C2</f>
        <v>500</v>
      </c>
      <c r="F40" s="4">
        <f>0.3*C2</f>
        <v>750</v>
      </c>
      <c r="G40" s="4">
        <f>0.4*C2</f>
        <v>1000</v>
      </c>
      <c r="H40" s="4">
        <f>0.5*C2</f>
        <v>1250</v>
      </c>
      <c r="I40" s="4">
        <f>0.6*C2</f>
        <v>1500</v>
      </c>
      <c r="J40" s="4">
        <f>0.7*C2</f>
        <v>1750</v>
      </c>
      <c r="K40" s="4">
        <f>0.8*C2</f>
        <v>2000</v>
      </c>
      <c r="L40" s="4">
        <f>0.9*C2</f>
        <v>2250</v>
      </c>
      <c r="M40" s="4">
        <f>C2</f>
        <v>2500</v>
      </c>
    </row>
    <row r="41" spans="1:13" ht="15.75" customHeight="1">
      <c r="A41" s="34" t="s">
        <v>4</v>
      </c>
      <c r="B41" s="34"/>
      <c r="C41" s="6">
        <f>IF(C40&lt;=E37,D39*C40/1000,IF(C40&lt;=E37+H37,B37*H37*(H38*C40/C2-(C40-E37)^2/(2*H37))/10^6,B37*H37*D38*(1-C40/C2)/10^6))</f>
        <v>0</v>
      </c>
      <c r="D41" s="6">
        <f>IF(D40&lt;=E37,D39*D40/1000,IF(D40&lt;=E37+H37,B37*H37*(H38*D40/C2-(D40-E37)^2/(2*H37))/10^6,B37*H37*D38*(1-D40/C2)/10^6))</f>
        <v>0</v>
      </c>
      <c r="E41" s="6">
        <f>IF(E40&lt;=E37,D39*E40/1000,IF(E40&lt;=E37+H37,B37*H37*(H38*E40/C2-(E40-E37)^2/(2*H37))/10^6,B37*H37*D38*(1-E40/C2)/10^6))</f>
        <v>0</v>
      </c>
      <c r="F41" s="6">
        <f>IF(F40&lt;=E37,D39*F40/1000,IF(F40&lt;=E37+H37,B37*H37*(H38*F40/C2-(F40-E37)^2/(2*H37))/10^6,B37*H37*D38*(1-F40/C2)/10^6))</f>
        <v>0</v>
      </c>
      <c r="G41" s="6">
        <f>IF(G40&lt;=E37,D39*G40/1000,IF(G40&lt;=E37+H37,B37*H37*(H38*G40/C2-(G40-E37)^2/(2*H37))/10^6,B37*H37*D38*(1-G40/C2)/10^6))</f>
        <v>0</v>
      </c>
      <c r="H41" s="6">
        <f>IF(H40&lt;=E37,D39*H40/1000,IF(H40&lt;=E37+H37,B37*H37*(H38*H40/C2-(H40-E37)^2/(2*H37))/10^6,B37*H37*D38*(1-H40/C2)/10^6))</f>
        <v>0</v>
      </c>
      <c r="I41" s="6">
        <f>IF(I40&lt;=E37,D39*I40/1000,IF(I40&lt;=E37+H37,B37*H37*(H38*I40/C2-(I40-E37)^2/(2*H37))/10^6,B37*H37*D38*(1-I40/C2)/10^6))</f>
        <v>0</v>
      </c>
      <c r="J41" s="6">
        <f>IF(J40&lt;=E37,D39*J40/1000,IF(J40&lt;=E37+H37,B37*H37*(H38*J40/C2-(J40-E37)^2/(2*H37))/10^6,B37*H37*D38*(1-J40/C2)/10^6))</f>
        <v>0</v>
      </c>
      <c r="K41" s="6">
        <f>IF(K40&lt;=E37,D39*K40/1000,IF(K40&lt;=E37+H37,B37*H37*(H38*K40/C2-(K40-E37)^2/(2*H37))/10^6,B37*H37*D38*(1-K40/C2)/10^6))</f>
        <v>0</v>
      </c>
      <c r="L41" s="6">
        <f>IF(L40&lt;=E37,D39*L40/1000,IF(L40&lt;=E37+H37,B37*H37*(H38*L40/C2-(L40-E37)^2/(2*H37))/10^6,B37*H37*D38*(1-L40/C2)/10^6))</f>
        <v>0</v>
      </c>
      <c r="M41" s="6">
        <f>IF(M40&lt;=E37,D39*M40/1000,IF(M40&lt;=E37+H37,B37*H37*(H38*M40/C2-(M40-E37)^2/(2*H37))/10^6,B37*H37*D38*(1-M40/C2)/10^6))</f>
        <v>0</v>
      </c>
    </row>
    <row r="42" ht="15.75" customHeight="1"/>
    <row r="43" spans="1:13" ht="15.75" customHeight="1">
      <c r="A43" s="34" t="s">
        <v>18</v>
      </c>
      <c r="B43" s="34"/>
      <c r="C43" s="6">
        <f>C8+C14+C20+C27+C34+C41</f>
        <v>0</v>
      </c>
      <c r="D43" s="6">
        <f aca="true" t="shared" si="0" ref="D43:M43">D8+D14+D20+D27+D34+D41</f>
        <v>8.4375</v>
      </c>
      <c r="E43" s="6">
        <f t="shared" si="0"/>
        <v>15</v>
      </c>
      <c r="F43" s="6">
        <f t="shared" si="0"/>
        <v>19.6875</v>
      </c>
      <c r="G43" s="6">
        <f t="shared" si="0"/>
        <v>22.5</v>
      </c>
      <c r="H43" s="6">
        <f t="shared" si="0"/>
        <v>23.4375</v>
      </c>
      <c r="I43" s="6">
        <f t="shared" si="0"/>
        <v>22.5</v>
      </c>
      <c r="J43" s="6">
        <f t="shared" si="0"/>
        <v>19.6875</v>
      </c>
      <c r="K43" s="6">
        <f t="shared" si="0"/>
        <v>15</v>
      </c>
      <c r="L43" s="6">
        <f t="shared" si="0"/>
        <v>8.4375</v>
      </c>
      <c r="M43" s="6">
        <f t="shared" si="0"/>
        <v>0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mergeCells count="51">
    <mergeCell ref="A43:B43"/>
    <mergeCell ref="A39:C39"/>
    <mergeCell ref="E39:G39"/>
    <mergeCell ref="A40:B40"/>
    <mergeCell ref="A41:B41"/>
    <mergeCell ref="A36:B36"/>
    <mergeCell ref="C37:D37"/>
    <mergeCell ref="F37:G37"/>
    <mergeCell ref="A38:C38"/>
    <mergeCell ref="E38:G38"/>
    <mergeCell ref="A32:C32"/>
    <mergeCell ref="E32:G32"/>
    <mergeCell ref="A33:B33"/>
    <mergeCell ref="A34:B34"/>
    <mergeCell ref="A29:B29"/>
    <mergeCell ref="C30:D30"/>
    <mergeCell ref="F30:G30"/>
    <mergeCell ref="A31:C31"/>
    <mergeCell ref="E31:G31"/>
    <mergeCell ref="A25:C25"/>
    <mergeCell ref="E25:G25"/>
    <mergeCell ref="A26:B26"/>
    <mergeCell ref="A27:B27"/>
    <mergeCell ref="C23:D23"/>
    <mergeCell ref="F23:G23"/>
    <mergeCell ref="A24:C24"/>
    <mergeCell ref="E24:G24"/>
    <mergeCell ref="A19:B19"/>
    <mergeCell ref="A20:B20"/>
    <mergeCell ref="A22:B22"/>
    <mergeCell ref="C17:D17"/>
    <mergeCell ref="F17:G17"/>
    <mergeCell ref="A18:C18"/>
    <mergeCell ref="E18:G18"/>
    <mergeCell ref="A13:B13"/>
    <mergeCell ref="A14:B14"/>
    <mergeCell ref="A16:B16"/>
    <mergeCell ref="C11:D11"/>
    <mergeCell ref="F11:G11"/>
    <mergeCell ref="A12:C12"/>
    <mergeCell ref="E12:G12"/>
    <mergeCell ref="A10:B10"/>
    <mergeCell ref="A1:B1"/>
    <mergeCell ref="A4:B4"/>
    <mergeCell ref="C5:D5"/>
    <mergeCell ref="A2:B2"/>
    <mergeCell ref="F5:G5"/>
    <mergeCell ref="A7:B7"/>
    <mergeCell ref="A8:B8"/>
    <mergeCell ref="A6:C6"/>
    <mergeCell ref="E6:G6"/>
  </mergeCells>
  <dataValidations count="10">
    <dataValidation type="decimal" operator="lessThanOrEqual" showInputMessage="1" showErrorMessage="1" error="a&gt;l，错误！请重新输入。" sqref="E5">
      <formula1>C2</formula1>
    </dataValidation>
    <dataValidation type="decimal" operator="lessThanOrEqual" showInputMessage="1" showErrorMessage="1" error="a&gt;l，错误！请重新输入。" sqref="E11">
      <formula1>C2</formula1>
    </dataValidation>
    <dataValidation type="decimal" operator="lessThanOrEqual" showInputMessage="1" showErrorMessage="1" error="a&gt;l，错误！请重新输入。" sqref="E17">
      <formula1>C2</formula1>
    </dataValidation>
    <dataValidation type="decimal" operator="lessThan" showInputMessage="1" showErrorMessage="1" error="a&gt;l，错误！请重新输入。" sqref="E23">
      <formula1>C2</formula1>
    </dataValidation>
    <dataValidation type="decimal" operator="lessThanOrEqual" showInputMessage="1" showErrorMessage="1" error="a&gt;l，错误！请重新输入。" sqref="H23">
      <formula1>C2</formula1>
    </dataValidation>
    <dataValidation operator="lessThan" showInputMessage="1" showErrorMessage="1" sqref="D24 D31 D38"/>
    <dataValidation type="decimal" operator="lessThan" showInputMessage="1" showErrorMessage="1" error="a&gt;l，错误！请重新输入。" sqref="E30">
      <formula1>C2</formula1>
    </dataValidation>
    <dataValidation type="decimal" operator="lessThanOrEqual" showInputMessage="1" showErrorMessage="1" error="a&gt;l，错误！请重新输入。" sqref="H30">
      <formula1>C2</formula1>
    </dataValidation>
    <dataValidation type="decimal" operator="lessThan" showInputMessage="1" showErrorMessage="1" error="a&gt;l，错误！请重新输入。" sqref="E37">
      <formula1>C2</formula1>
    </dataValidation>
    <dataValidation type="decimal" operator="lessThanOrEqual" showInputMessage="1" showErrorMessage="1" error="a&gt;l，错误！请重新输入。" sqref="H37">
      <formula1>C2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50" zoomScaleNormal="50" workbookViewId="0" topLeftCell="A1">
      <selection activeCell="C3" sqref="C3"/>
    </sheetView>
  </sheetViews>
  <sheetFormatPr defaultColWidth="9.00390625" defaultRowHeight="14.25"/>
  <cols>
    <col min="1" max="13" width="9.625" style="1" customWidth="1"/>
    <col min="14" max="15" width="8.625" style="0" customWidth="1"/>
  </cols>
  <sheetData>
    <row r="1" spans="1:6" ht="15.75" customHeight="1">
      <c r="A1" s="37" t="s">
        <v>19</v>
      </c>
      <c r="B1" s="37"/>
      <c r="C1" s="2"/>
      <c r="D1" s="2"/>
      <c r="E1" s="2"/>
      <c r="F1" s="2"/>
    </row>
    <row r="2" spans="1:3" ht="15.75" customHeight="1">
      <c r="A2" s="34" t="s">
        <v>0</v>
      </c>
      <c r="B2" s="34"/>
      <c r="C2" s="3">
        <v>1000</v>
      </c>
    </row>
    <row r="3" ht="15.75" customHeight="1"/>
    <row r="4" spans="1:6" ht="15.75" customHeight="1">
      <c r="A4" s="37" t="s">
        <v>20</v>
      </c>
      <c r="B4" s="37"/>
      <c r="C4" s="2"/>
      <c r="D4" s="2"/>
      <c r="E4" s="2"/>
      <c r="F4" s="2"/>
    </row>
    <row r="5" spans="1:8" ht="15.75" customHeight="1">
      <c r="A5" s="4" t="s">
        <v>21</v>
      </c>
      <c r="B5" s="3">
        <v>1000</v>
      </c>
      <c r="C5" s="34" t="s">
        <v>42</v>
      </c>
      <c r="D5" s="34"/>
      <c r="E5" s="3">
        <v>500</v>
      </c>
      <c r="F5" s="34" t="s">
        <v>43</v>
      </c>
      <c r="G5" s="34"/>
      <c r="H5" s="3">
        <f>C2-E5</f>
        <v>500</v>
      </c>
    </row>
    <row r="6" spans="1:8" ht="15.75" customHeight="1">
      <c r="A6" s="38" t="s">
        <v>29</v>
      </c>
      <c r="B6" s="39"/>
      <c r="C6" s="40"/>
      <c r="D6" s="7">
        <f>E5/C2</f>
        <v>0.5</v>
      </c>
      <c r="E6" s="38" t="s">
        <v>30</v>
      </c>
      <c r="F6" s="39"/>
      <c r="G6" s="40"/>
      <c r="H6" s="7">
        <f>H5/C2</f>
        <v>0.5</v>
      </c>
    </row>
    <row r="7" spans="1:8" ht="15.75" customHeight="1">
      <c r="A7" s="36" t="s">
        <v>44</v>
      </c>
      <c r="B7" s="36"/>
      <c r="C7" s="36"/>
      <c r="D7" s="5">
        <f>B5*H5^2*(3-H6)/(2*C2^2)</f>
        <v>312.5</v>
      </c>
      <c r="E7" s="36" t="s">
        <v>45</v>
      </c>
      <c r="F7" s="36"/>
      <c r="G7" s="36"/>
      <c r="H7" s="5">
        <f>B5*E5*(3-D6^2)/(2*C2)</f>
        <v>687.5</v>
      </c>
    </row>
    <row r="8" spans="1:13" ht="15.75" customHeight="1">
      <c r="A8" s="34" t="s">
        <v>46</v>
      </c>
      <c r="B8" s="35"/>
      <c r="C8" s="4">
        <v>0</v>
      </c>
      <c r="D8" s="4">
        <f>0.1*C2</f>
        <v>100</v>
      </c>
      <c r="E8" s="4">
        <f>0.2*C2</f>
        <v>200</v>
      </c>
      <c r="F8" s="4">
        <f>0.3*C2</f>
        <v>300</v>
      </c>
      <c r="G8" s="4">
        <f>0.4*C2</f>
        <v>400</v>
      </c>
      <c r="H8" s="4">
        <f>0.5*C2</f>
        <v>500</v>
      </c>
      <c r="I8" s="4">
        <f>0.6*C2</f>
        <v>600</v>
      </c>
      <c r="J8" s="4">
        <f>0.7*C2</f>
        <v>700</v>
      </c>
      <c r="K8" s="4">
        <f>0.8*C2</f>
        <v>800</v>
      </c>
      <c r="L8" s="4">
        <f>0.9*C2</f>
        <v>900</v>
      </c>
      <c r="M8" s="4">
        <f>C2</f>
        <v>1000</v>
      </c>
    </row>
    <row r="9" spans="1:13" ht="15.75" customHeight="1">
      <c r="A9" s="34" t="s">
        <v>4</v>
      </c>
      <c r="B9" s="34"/>
      <c r="C9" s="8">
        <f>IF(C8&lt;=E5,D7*C8/1000,D7*C8/1000-B5*(C8-E5)/1000)</f>
        <v>0</v>
      </c>
      <c r="D9" s="8">
        <f>IF(D8&lt;=E5,D7*D8/1000,D7*D8/1000-B5*(D8-E5)/1000)</f>
        <v>31.25</v>
      </c>
      <c r="E9" s="8">
        <f>IF(E8&lt;=E5,D7*E8/1000,D7*E8/1000-B5*(E8-E5)/1000)</f>
        <v>62.5</v>
      </c>
      <c r="F9" s="8">
        <f>IF(F8&lt;=E5,D7*F8/1000,D7*F8/1000-B5*(F8-E5)/1000)</f>
        <v>93.75</v>
      </c>
      <c r="G9" s="8">
        <f>IF(G8&lt;=E5,D7*G8/1000,D7*G8/1000-B5*(G8-E5)/1000)</f>
        <v>125</v>
      </c>
      <c r="H9" s="8">
        <f>IF(H8&lt;=E5,D7*H8/1000,D7*H8/1000-B5*(H8-E5)/1000)</f>
        <v>156.25</v>
      </c>
      <c r="I9" s="8">
        <f>IF(I8&lt;=E5,D7*I8/1000,D7*I8/1000-B5*(I8-E5)/1000)</f>
        <v>87.5</v>
      </c>
      <c r="J9" s="8">
        <f>IF(J8&lt;=E5,D7*J8/1000,D7*J8/1000-B5*(J8-E5)/1000)</f>
        <v>18.75</v>
      </c>
      <c r="K9" s="8">
        <f>IF(K8&lt;=E5,D7*K8/1000,D7*K8/1000-B5*(K8-E5)/1000)</f>
        <v>-50</v>
      </c>
      <c r="L9" s="8">
        <f>IF(L8&lt;=E5,D7*L8/1000,D7*L8/1000-B5*(L8-E5)/1000)</f>
        <v>-118.75</v>
      </c>
      <c r="M9" s="8">
        <f>IF(M8&lt;=E5,D7*M8/1000,D7*M8/1000-B5*(M8-E5)/1000)</f>
        <v>-187.5</v>
      </c>
    </row>
    <row r="10" ht="15.75" customHeight="1"/>
    <row r="11" spans="1:6" ht="15.75" customHeight="1">
      <c r="A11" s="37" t="s">
        <v>20</v>
      </c>
      <c r="B11" s="37"/>
      <c r="C11" s="2"/>
      <c r="D11" s="2"/>
      <c r="E11" s="2"/>
      <c r="F11" s="2"/>
    </row>
    <row r="12" spans="1:8" ht="15.75" customHeight="1">
      <c r="A12" s="4" t="s">
        <v>21</v>
      </c>
      <c r="B12" s="3">
        <v>0</v>
      </c>
      <c r="C12" s="34" t="s">
        <v>42</v>
      </c>
      <c r="D12" s="34"/>
      <c r="E12" s="3">
        <v>500</v>
      </c>
      <c r="F12" s="34" t="s">
        <v>43</v>
      </c>
      <c r="G12" s="34"/>
      <c r="H12" s="3">
        <f>C2-E12</f>
        <v>500</v>
      </c>
    </row>
    <row r="13" spans="1:8" ht="15.75" customHeight="1">
      <c r="A13" s="38" t="s">
        <v>29</v>
      </c>
      <c r="B13" s="39"/>
      <c r="C13" s="40"/>
      <c r="D13" s="7">
        <f>E12/C2</f>
        <v>0.5</v>
      </c>
      <c r="E13" s="38" t="s">
        <v>30</v>
      </c>
      <c r="F13" s="39"/>
      <c r="G13" s="40"/>
      <c r="H13" s="7">
        <f>H12/C2</f>
        <v>0.5</v>
      </c>
    </row>
    <row r="14" spans="1:8" ht="15.75" customHeight="1">
      <c r="A14" s="36" t="s">
        <v>44</v>
      </c>
      <c r="B14" s="36"/>
      <c r="C14" s="36"/>
      <c r="D14" s="5">
        <f>B12*H12^2*(3-H13)/(2*C2^2)</f>
        <v>0</v>
      </c>
      <c r="E14" s="36" t="s">
        <v>45</v>
      </c>
      <c r="F14" s="36"/>
      <c r="G14" s="36"/>
      <c r="H14" s="5">
        <f>B12*E12*(3-D13^2)/(2*C2)</f>
        <v>0</v>
      </c>
    </row>
    <row r="15" spans="1:13" ht="15.75" customHeight="1">
      <c r="A15" s="34" t="s">
        <v>46</v>
      </c>
      <c r="B15" s="35"/>
      <c r="C15" s="4">
        <v>0</v>
      </c>
      <c r="D15" s="4">
        <f>0.1*C2</f>
        <v>100</v>
      </c>
      <c r="E15" s="4">
        <f>0.2*C2</f>
        <v>200</v>
      </c>
      <c r="F15" s="4">
        <f>0.3*C2</f>
        <v>300</v>
      </c>
      <c r="G15" s="4">
        <f>0.4*C2</f>
        <v>400</v>
      </c>
      <c r="H15" s="4">
        <f>0.5*C2</f>
        <v>500</v>
      </c>
      <c r="I15" s="4">
        <f>0.6*C2</f>
        <v>600</v>
      </c>
      <c r="J15" s="4">
        <f>0.7*C2</f>
        <v>700</v>
      </c>
      <c r="K15" s="4">
        <f>0.8*C2</f>
        <v>800</v>
      </c>
      <c r="L15" s="4">
        <f>0.9*C2</f>
        <v>900</v>
      </c>
      <c r="M15" s="4">
        <f>C2</f>
        <v>1000</v>
      </c>
    </row>
    <row r="16" spans="1:13" ht="15.75" customHeight="1">
      <c r="A16" s="34" t="s">
        <v>4</v>
      </c>
      <c r="B16" s="34"/>
      <c r="C16" s="8">
        <f>IF(C15&lt;=E12,D14*C15/1000,D14*C15/1000-B12*(C15-E12)/1000)</f>
        <v>0</v>
      </c>
      <c r="D16" s="8">
        <f>IF(D15&lt;=E12,D14*D15/1000,D14*D15/1000-B12*(D15-E12)/1000)</f>
        <v>0</v>
      </c>
      <c r="E16" s="8">
        <f>IF(E15&lt;=E12,D14*E15/1000,D14*E15/1000-B12*(E15-E12)/1000)</f>
        <v>0</v>
      </c>
      <c r="F16" s="8">
        <f>IF(F15&lt;=E12,D14*F15/1000,D14*F15/1000-B12*(F15-E12)/1000)</f>
        <v>0</v>
      </c>
      <c r="G16" s="8">
        <f>IF(G15&lt;=E12,D14*G15/1000,D14*G15/1000-B12*(G15-E12)/1000)</f>
        <v>0</v>
      </c>
      <c r="H16" s="8">
        <f>IF(H15&lt;=E12,D14*H15/1000,D14*H15/1000-B12*(H15-E12)/1000)</f>
        <v>0</v>
      </c>
      <c r="I16" s="8">
        <f>IF(I15&lt;=E12,D14*I15/1000,D14*I15/1000-B12*(I15-E12)/1000)</f>
        <v>0</v>
      </c>
      <c r="J16" s="8">
        <f>IF(J15&lt;=E12,D14*J15/1000,D14*J15/1000-B12*(J15-E12)/1000)</f>
        <v>0</v>
      </c>
      <c r="K16" s="8">
        <f>IF(K15&lt;=E12,D14*K15/1000,D14*K15/1000-B12*(K15-E12)/1000)</f>
        <v>0</v>
      </c>
      <c r="L16" s="8">
        <f>IF(L15&lt;=E12,D14*L15/1000,D14*L15/1000-B12*(L15-E12)/1000)</f>
        <v>0</v>
      </c>
      <c r="M16" s="8">
        <f>IF(M15&lt;=E12,D14*M15/1000,D14*M15/1000-B12*(M15-E12)/1000)</f>
        <v>0</v>
      </c>
    </row>
    <row r="17" ht="15.75" customHeight="1"/>
    <row r="18" spans="1:6" ht="15.75" customHeight="1">
      <c r="A18" s="37" t="s">
        <v>20</v>
      </c>
      <c r="B18" s="37"/>
      <c r="C18" s="2"/>
      <c r="D18" s="2"/>
      <c r="E18" s="2"/>
      <c r="F18" s="2"/>
    </row>
    <row r="19" spans="1:8" ht="15.75" customHeight="1">
      <c r="A19" s="4" t="s">
        <v>21</v>
      </c>
      <c r="B19" s="3">
        <v>0</v>
      </c>
      <c r="C19" s="34" t="s">
        <v>42</v>
      </c>
      <c r="D19" s="34"/>
      <c r="E19" s="3">
        <v>500</v>
      </c>
      <c r="F19" s="34" t="s">
        <v>43</v>
      </c>
      <c r="G19" s="34"/>
      <c r="H19" s="3">
        <f>C2-E19</f>
        <v>500</v>
      </c>
    </row>
    <row r="20" spans="1:8" ht="15.75" customHeight="1">
      <c r="A20" s="38" t="s">
        <v>29</v>
      </c>
      <c r="B20" s="39"/>
      <c r="C20" s="40"/>
      <c r="D20" s="7">
        <f>E19/C2</f>
        <v>0.5</v>
      </c>
      <c r="E20" s="38" t="s">
        <v>30</v>
      </c>
      <c r="F20" s="39"/>
      <c r="G20" s="40"/>
      <c r="H20" s="7">
        <f>H19/C2</f>
        <v>0.5</v>
      </c>
    </row>
    <row r="21" spans="1:8" ht="15.75" customHeight="1">
      <c r="A21" s="36" t="s">
        <v>44</v>
      </c>
      <c r="B21" s="36"/>
      <c r="C21" s="36"/>
      <c r="D21" s="5">
        <f>B19*H19^2*(3-H20)/(2*C2^2)</f>
        <v>0</v>
      </c>
      <c r="E21" s="36" t="s">
        <v>45</v>
      </c>
      <c r="F21" s="36"/>
      <c r="G21" s="36"/>
      <c r="H21" s="5">
        <f>B19*E19*(3-D20^2)/(2*C2)</f>
        <v>0</v>
      </c>
    </row>
    <row r="22" spans="1:13" ht="15.75" customHeight="1">
      <c r="A22" s="34" t="s">
        <v>46</v>
      </c>
      <c r="B22" s="35"/>
      <c r="C22" s="4">
        <v>0</v>
      </c>
      <c r="D22" s="4">
        <f>0.1*C2</f>
        <v>100</v>
      </c>
      <c r="E22" s="4">
        <f>0.2*C2</f>
        <v>200</v>
      </c>
      <c r="F22" s="4">
        <f>0.3*C2</f>
        <v>300</v>
      </c>
      <c r="G22" s="4">
        <f>0.4*C2</f>
        <v>400</v>
      </c>
      <c r="H22" s="4">
        <f>0.5*C2</f>
        <v>500</v>
      </c>
      <c r="I22" s="4">
        <f>0.6*C2</f>
        <v>600</v>
      </c>
      <c r="J22" s="4">
        <f>0.7*C2</f>
        <v>700</v>
      </c>
      <c r="K22" s="4">
        <f>0.8*C2</f>
        <v>800</v>
      </c>
      <c r="L22" s="4">
        <f>0.9*C2</f>
        <v>900</v>
      </c>
      <c r="M22" s="4">
        <f>C2</f>
        <v>1000</v>
      </c>
    </row>
    <row r="23" spans="1:13" ht="15.75" customHeight="1">
      <c r="A23" s="34" t="s">
        <v>4</v>
      </c>
      <c r="B23" s="34"/>
      <c r="C23" s="8">
        <f>IF(C22&lt;=E19,D21*C22/1000,D21*C22/1000-B19*(C22-E19)/1000)</f>
        <v>0</v>
      </c>
      <c r="D23" s="8">
        <f>IF(D22&lt;=E19,D21*D22/1000,D21*D22/1000-B19*(D22-E19)/1000)</f>
        <v>0</v>
      </c>
      <c r="E23" s="8">
        <f>IF(E22&lt;=E19,D21*E22/1000,D21*E22/1000-B19*(E22-E19)/1000)</f>
        <v>0</v>
      </c>
      <c r="F23" s="8">
        <f>IF(F22&lt;=E19,D21*F22/1000,D21*F22/1000-B19*(F22-E19)/1000)</f>
        <v>0</v>
      </c>
      <c r="G23" s="8">
        <f>IF(G22&lt;=E19,D21*G22/1000,D21*G22/1000-B19*(G22-E19)/1000)</f>
        <v>0</v>
      </c>
      <c r="H23" s="8">
        <f>IF(H22&lt;=E19,D21*H22/1000,D21*H22/1000-B19*(H22-E19)/1000)</f>
        <v>0</v>
      </c>
      <c r="I23" s="8">
        <f>IF(I22&lt;=E19,D21*I22/1000,D21*I22/1000-B19*(I22-E19)/1000)</f>
        <v>0</v>
      </c>
      <c r="J23" s="8">
        <f>IF(J22&lt;=E19,D21*J22/1000,D21*J22/1000-B19*(J22-E19)/1000)</f>
        <v>0</v>
      </c>
      <c r="K23" s="8">
        <f>IF(K22&lt;=E19,D21*K22/1000,D21*K22/1000-B19*(K22-E19)/1000)</f>
        <v>0</v>
      </c>
      <c r="L23" s="8">
        <f>IF(L22&lt;=E19,D21*L22/1000,D21*L22/1000-B19*(L22-E19)/1000)</f>
        <v>0</v>
      </c>
      <c r="M23" s="8">
        <f>IF(M22&lt;=E19,D21*M22/1000,D21*M22/1000-B19*(M22-E19)/1000)</f>
        <v>0</v>
      </c>
    </row>
    <row r="24" ht="15.75" customHeight="1"/>
    <row r="25" spans="1:2" ht="15.75" customHeight="1">
      <c r="A25" s="37" t="s">
        <v>23</v>
      </c>
      <c r="B25" s="37"/>
    </row>
    <row r="26" spans="1:8" ht="15.75" customHeight="1">
      <c r="A26" s="4" t="s">
        <v>10</v>
      </c>
      <c r="B26" s="3">
        <v>10</v>
      </c>
      <c r="C26" s="34" t="s">
        <v>24</v>
      </c>
      <c r="D26" s="34"/>
      <c r="E26" s="3">
        <v>300</v>
      </c>
      <c r="F26" s="34" t="s">
        <v>25</v>
      </c>
      <c r="G26" s="34"/>
      <c r="H26" s="3">
        <v>400</v>
      </c>
    </row>
    <row r="27" spans="1:8" ht="15.75" customHeight="1">
      <c r="A27" s="34" t="s">
        <v>26</v>
      </c>
      <c r="B27" s="34"/>
      <c r="C27" s="34"/>
      <c r="D27" s="3">
        <f>E26+H26/2</f>
        <v>500</v>
      </c>
      <c r="E27" s="34" t="s">
        <v>27</v>
      </c>
      <c r="F27" s="34"/>
      <c r="G27" s="34"/>
      <c r="H27" s="3">
        <f>C2-D27</f>
        <v>500</v>
      </c>
    </row>
    <row r="28" spans="1:11" ht="15.75" customHeight="1">
      <c r="A28" s="38" t="s">
        <v>47</v>
      </c>
      <c r="B28" s="39"/>
      <c r="C28" s="39"/>
      <c r="D28" s="39"/>
      <c r="E28" s="40"/>
      <c r="F28" s="3">
        <f>B26*H26*(12*H27^2*C2-4*H27^3+D27*H26^2)/(8*C2^3*1000)</f>
        <v>1.29</v>
      </c>
      <c r="G28" s="38" t="s">
        <v>31</v>
      </c>
      <c r="H28" s="39"/>
      <c r="I28" s="40"/>
      <c r="J28" s="3">
        <f>B26*H26/1000-F28</f>
        <v>2.71</v>
      </c>
      <c r="K28" s="9"/>
    </row>
    <row r="29" spans="1:13" ht="15.75" customHeight="1">
      <c r="A29" s="34" t="s">
        <v>22</v>
      </c>
      <c r="B29" s="35"/>
      <c r="C29" s="4">
        <v>0</v>
      </c>
      <c r="D29" s="4">
        <f>0.1*C2</f>
        <v>100</v>
      </c>
      <c r="E29" s="4">
        <f>0.2*C2</f>
        <v>200</v>
      </c>
      <c r="F29" s="4">
        <f>0.3*C2</f>
        <v>300</v>
      </c>
      <c r="G29" s="4">
        <f>0.4*C2</f>
        <v>400</v>
      </c>
      <c r="H29" s="4">
        <f>0.5*C2</f>
        <v>500</v>
      </c>
      <c r="I29" s="4">
        <f>0.6*C2</f>
        <v>600</v>
      </c>
      <c r="J29" s="4">
        <f>0.7*C2</f>
        <v>700</v>
      </c>
      <c r="K29" s="4">
        <f>0.8*C2</f>
        <v>800</v>
      </c>
      <c r="L29" s="4">
        <f>0.9*C2</f>
        <v>900</v>
      </c>
      <c r="M29" s="4">
        <f>C2</f>
        <v>1000</v>
      </c>
    </row>
    <row r="30" spans="1:13" ht="15.75" customHeight="1">
      <c r="A30" s="34" t="s">
        <v>4</v>
      </c>
      <c r="B30" s="34"/>
      <c r="C30" s="8">
        <f>IF(C29&lt;=E26,F28*C29/1000,IF(C29&lt;=E26+H26,F28*C29/1000-B26*(C29-E26)^2/(2*10^6),F28*C29/1000-B26*H26*(C29-D27)/10^6))</f>
        <v>0</v>
      </c>
      <c r="D30" s="8">
        <f>IF(D29&lt;=E26,F28*D29/1000,IF(D29&lt;=E26+H26,F28*D29/1000-B26*(D29-E26)^2/(2*10^6),F28*D29/1000-B26*H26*(D29-D27)/10^6))</f>
        <v>0.129</v>
      </c>
      <c r="E30" s="8">
        <f>IF(E29&lt;=E26,F28*E29/1000,IF(E29&lt;=E26+H26,F28*E29/1000-B26*(E29-E26)^2/(2*10^6),F28*E29/1000-B26*H26*(E29-D27)/10^6))</f>
        <v>0.258</v>
      </c>
      <c r="F30" s="8">
        <f>IF(F29&lt;=E26,F28*F29/1000,IF(F29&lt;=E26+H26,F28*F29/1000-B26*(F29-E26)^2/(2*10^6),F28*F29/1000-B26*H26*(F29-D27)/10^6))</f>
        <v>0.387</v>
      </c>
      <c r="G30" s="8">
        <f>IF(G29&lt;=E26,F28*G29/1000,IF(G29&lt;=E26+H26,F28*G29/1000-B26*(G29-E26)^2/(2*10^6),F28*G29/1000-B26*H26*(G29-D27)/10^6))</f>
        <v>0.466</v>
      </c>
      <c r="H30" s="8">
        <f>IF(H29&lt;=E26,F28*H29/1000,IF(H29&lt;=E26+H26,F28*H29/1000-B26*(H29-E26)^2/(2*10^6),F28*H29/1000-B26*H26*(H29-D27)/10^6))</f>
        <v>0.445</v>
      </c>
      <c r="I30" s="8">
        <f>IF(I29&lt;=E26,F28*I29/1000,IF(I29&lt;=E26+H26,F28*I29/1000-B26*(I29-E26)^2/(2*10^6),F28*I29/1000-B26*H26*(I29-D27)/10^6))</f>
        <v>0.324</v>
      </c>
      <c r="J30" s="8">
        <f>IF(J29&lt;=E26,F28*J29/1000,IF(J29&lt;=E26+H26,F28*J29/1000-B26*(J29-E26)^2/(2*10^6),F28*J29/1000-B26*H26*(J29-D27)/10^6))</f>
        <v>0.10299999999999998</v>
      </c>
      <c r="K30" s="8">
        <f>IF(K29&lt;=E26,F28*K29/1000,IF(K29&lt;=E26+H26,F28*K29/1000-B26*(K29-E26)^2/(2*10^6),F28*K29/1000-B26*H26*(K29-D27)/10^6))</f>
        <v>-0.16799999999999993</v>
      </c>
      <c r="L30" s="8">
        <f>IF(L29&lt;=E26,F28*L29/1000,IF(L29&lt;=E26+H26,F28*L29/1000-B26*(L29-E26)^2/(2*10^6),F28*L29/1000-B26*H26*(L29-D27)/10^6))</f>
        <v>-0.43900000000000006</v>
      </c>
      <c r="M30" s="8">
        <f>IF(M29&lt;=E26,F28*M29/1000,IF(M29&lt;=E26+H26,F28*M29/1000-B26*(M29-E26)^2/(2*10^6),F28*M29/1000-B26*H26*(M29-D27)/10^6))</f>
        <v>-0.71</v>
      </c>
    </row>
    <row r="31" ht="15.75" customHeight="1"/>
    <row r="32" spans="1:2" ht="15.75" customHeight="1">
      <c r="A32" s="37" t="s">
        <v>23</v>
      </c>
      <c r="B32" s="37"/>
    </row>
    <row r="33" spans="1:8" ht="15.75" customHeight="1">
      <c r="A33" s="4" t="s">
        <v>10</v>
      </c>
      <c r="B33" s="3">
        <v>0</v>
      </c>
      <c r="C33" s="34" t="s">
        <v>24</v>
      </c>
      <c r="D33" s="34"/>
      <c r="E33" s="3">
        <v>300</v>
      </c>
      <c r="F33" s="34" t="s">
        <v>25</v>
      </c>
      <c r="G33" s="34"/>
      <c r="H33" s="3">
        <v>400</v>
      </c>
    </row>
    <row r="34" spans="1:8" ht="15.75" customHeight="1">
      <c r="A34" s="34" t="s">
        <v>26</v>
      </c>
      <c r="B34" s="34"/>
      <c r="C34" s="34"/>
      <c r="D34" s="3">
        <f>E33+H33/2</f>
        <v>500</v>
      </c>
      <c r="E34" s="34" t="s">
        <v>27</v>
      </c>
      <c r="F34" s="34"/>
      <c r="G34" s="34"/>
      <c r="H34" s="3">
        <f>C2-D34</f>
        <v>500</v>
      </c>
    </row>
    <row r="35" spans="1:11" ht="15.75" customHeight="1">
      <c r="A35" s="38" t="s">
        <v>47</v>
      </c>
      <c r="B35" s="39"/>
      <c r="C35" s="39"/>
      <c r="D35" s="39"/>
      <c r="E35" s="40"/>
      <c r="F35" s="3">
        <f>B33*H33*(12*H34^2*C2-4*H34^3+D34*H33^2)/(8*C2^3*1000)</f>
        <v>0</v>
      </c>
      <c r="G35" s="38" t="s">
        <v>31</v>
      </c>
      <c r="H35" s="39"/>
      <c r="I35" s="40"/>
      <c r="J35" s="3">
        <f>B33*H33/1000-F35</f>
        <v>0</v>
      </c>
      <c r="K35" s="9"/>
    </row>
    <row r="36" spans="1:13" ht="15.75" customHeight="1">
      <c r="A36" s="34" t="s">
        <v>22</v>
      </c>
      <c r="B36" s="35"/>
      <c r="C36" s="4">
        <v>0</v>
      </c>
      <c r="D36" s="4">
        <f>0.1*C2</f>
        <v>100</v>
      </c>
      <c r="E36" s="4">
        <f>0.2*C2</f>
        <v>200</v>
      </c>
      <c r="F36" s="4">
        <f>0.3*C2</f>
        <v>300</v>
      </c>
      <c r="G36" s="4">
        <f>0.4*C2</f>
        <v>400</v>
      </c>
      <c r="H36" s="4">
        <f>0.5*C2</f>
        <v>500</v>
      </c>
      <c r="I36" s="4">
        <f>0.6*C2</f>
        <v>600</v>
      </c>
      <c r="J36" s="4">
        <f>0.7*C2</f>
        <v>700</v>
      </c>
      <c r="K36" s="4">
        <f>0.8*C2</f>
        <v>800</v>
      </c>
      <c r="L36" s="4">
        <f>0.9*C2</f>
        <v>900</v>
      </c>
      <c r="M36" s="4">
        <f>C2</f>
        <v>1000</v>
      </c>
    </row>
    <row r="37" spans="1:13" ht="15.75" customHeight="1">
      <c r="A37" s="34" t="s">
        <v>4</v>
      </c>
      <c r="B37" s="34"/>
      <c r="C37" s="8">
        <f>IF(C36&lt;=E33,F35*C36/1000,IF(C36&lt;=E33+H33,F35*C36/1000-B33*(C36-E33)^2/(2*10^6),F35*C36/1000-B33*H33*(C36-D34)/10^6))</f>
        <v>0</v>
      </c>
      <c r="D37" s="8">
        <f>IF(D36&lt;=E33,F35*D36/1000,IF(D36&lt;=E33+H33,F35*D36/1000-B33*(D36-E33)^2/(2*10^6),F35*D36/1000-B33*H33*(D36-D34)/10^6))</f>
        <v>0</v>
      </c>
      <c r="E37" s="8">
        <f>IF(E36&lt;=E33,F35*E36/1000,IF(E36&lt;=E33+H33,F35*E36/1000-B33*(E36-E33)^2/(2*10^6),F35*E36/1000-B33*H33*(E36-D34)/10^6))</f>
        <v>0</v>
      </c>
      <c r="F37" s="8">
        <f>IF(F36&lt;=E33,F35*F36/1000,IF(F36&lt;=E33+H33,F35*F36/1000-B33*(F36-E33)^2/(2*10^6),F35*F36/1000-B33*H33*(F36-D34)/10^6))</f>
        <v>0</v>
      </c>
      <c r="G37" s="8">
        <f>IF(G36&lt;=E33,F35*G36/1000,IF(G36&lt;=E33+H33,F35*G36/1000-B33*(G36-E33)^2/(2*10^6),F35*G36/1000-B33*H33*(G36-D34)/10^6))</f>
        <v>0</v>
      </c>
      <c r="H37" s="8">
        <f>IF(H36&lt;=E33,F35*H36/1000,IF(H36&lt;=E33+H33,F35*H36/1000-B33*(H36-E33)^2/(2*10^6),F35*H36/1000-B33*H33*(H36-D34)/10^6))</f>
        <v>0</v>
      </c>
      <c r="I37" s="8">
        <f>IF(I36&lt;=E33,F35*I36/1000,IF(I36&lt;=E33+H33,F35*I36/1000-B33*(I36-E33)^2/(2*10^6),F35*I36/1000-B33*H33*(I36-D34)/10^6))</f>
        <v>0</v>
      </c>
      <c r="J37" s="8">
        <f>IF(J36&lt;=E33,F35*J36/1000,IF(J36&lt;=E33+H33,F35*J36/1000-B33*(J36-E33)^2/(2*10^6),F35*J36/1000-B33*H33*(J36-D34)/10^6))</f>
        <v>0</v>
      </c>
      <c r="K37" s="8">
        <f>IF(K36&lt;=E33,F35*K36/1000,IF(K36&lt;=E33+H33,F35*K36/1000-B33*(K36-E33)^2/(2*10^6),F35*K36/1000-B33*H33*(K36-D34)/10^6))</f>
        <v>0</v>
      </c>
      <c r="L37" s="8">
        <f>IF(L36&lt;=E33,F35*L36/1000,IF(L36&lt;=E33+H33,F35*L36/1000-B33*(L36-E33)^2/(2*10^6),F35*L36/1000-B33*H33*(L36-D34)/10^6))</f>
        <v>0</v>
      </c>
      <c r="M37" s="8">
        <f>IF(M36&lt;=E33,F35*M36/1000,IF(M36&lt;=E33+H33,F35*M36/1000-B33*(M36-E33)^2/(2*10^6),F35*M36/1000-B33*H33*(M36-D34)/10^6))</f>
        <v>0</v>
      </c>
    </row>
    <row r="38" ht="15.75" customHeight="1"/>
    <row r="39" spans="1:2" ht="15.75" customHeight="1">
      <c r="A39" s="37" t="s">
        <v>23</v>
      </c>
      <c r="B39" s="37"/>
    </row>
    <row r="40" spans="1:8" ht="15.75" customHeight="1">
      <c r="A40" s="4" t="s">
        <v>10</v>
      </c>
      <c r="B40" s="3">
        <v>0</v>
      </c>
      <c r="C40" s="34" t="s">
        <v>24</v>
      </c>
      <c r="D40" s="34"/>
      <c r="E40" s="3">
        <v>300</v>
      </c>
      <c r="F40" s="34" t="s">
        <v>25</v>
      </c>
      <c r="G40" s="34"/>
      <c r="H40" s="3">
        <v>400</v>
      </c>
    </row>
    <row r="41" spans="1:8" ht="15.75" customHeight="1">
      <c r="A41" s="34" t="s">
        <v>26</v>
      </c>
      <c r="B41" s="34"/>
      <c r="C41" s="34"/>
      <c r="D41" s="3">
        <f>E40+H40/2</f>
        <v>500</v>
      </c>
      <c r="E41" s="34" t="s">
        <v>27</v>
      </c>
      <c r="F41" s="34"/>
      <c r="G41" s="34"/>
      <c r="H41" s="3">
        <f>C2-D41</f>
        <v>500</v>
      </c>
    </row>
    <row r="42" spans="1:11" ht="15.75" customHeight="1">
      <c r="A42" s="38" t="s">
        <v>47</v>
      </c>
      <c r="B42" s="39"/>
      <c r="C42" s="39"/>
      <c r="D42" s="39"/>
      <c r="E42" s="40"/>
      <c r="F42" s="3">
        <f>B40*H40*(12*H41^2*C2-4*H41^3+D41*H40^2)/(8*C2^3*1000)</f>
        <v>0</v>
      </c>
      <c r="G42" s="38" t="s">
        <v>31</v>
      </c>
      <c r="H42" s="39"/>
      <c r="I42" s="40"/>
      <c r="J42" s="3">
        <f>B40*H40/1000-F42</f>
        <v>0</v>
      </c>
      <c r="K42" s="9"/>
    </row>
    <row r="43" spans="1:13" ht="15.75" customHeight="1">
      <c r="A43" s="34" t="s">
        <v>22</v>
      </c>
      <c r="B43" s="35"/>
      <c r="C43" s="4">
        <v>0</v>
      </c>
      <c r="D43" s="4">
        <f>0.1*C2</f>
        <v>100</v>
      </c>
      <c r="E43" s="4">
        <f>0.2*C2</f>
        <v>200</v>
      </c>
      <c r="F43" s="4">
        <f>0.3*C2</f>
        <v>300</v>
      </c>
      <c r="G43" s="4">
        <f>0.4*C2</f>
        <v>400</v>
      </c>
      <c r="H43" s="4">
        <f>0.5*C2</f>
        <v>500</v>
      </c>
      <c r="I43" s="4">
        <f>0.6*C2</f>
        <v>600</v>
      </c>
      <c r="J43" s="4">
        <f>0.7*C2</f>
        <v>700</v>
      </c>
      <c r="K43" s="4">
        <f>0.8*C2</f>
        <v>800</v>
      </c>
      <c r="L43" s="4">
        <f>0.9*C2</f>
        <v>900</v>
      </c>
      <c r="M43" s="4">
        <f>C2</f>
        <v>1000</v>
      </c>
    </row>
    <row r="44" spans="1:13" ht="15.75" customHeight="1">
      <c r="A44" s="34" t="s">
        <v>4</v>
      </c>
      <c r="B44" s="34"/>
      <c r="C44" s="8">
        <f>IF(C43&lt;=E40,F42*C43/1000,IF(C43&lt;=E40+H40,F42*C43/1000-B40*(C43-E40)^2/(2*10^6),F42*C43/1000-B40*H40*(C43-D41)/10^6))</f>
        <v>0</v>
      </c>
      <c r="D44" s="8">
        <f>IF(D43&lt;=E40,F42*D43/1000,IF(D43&lt;=E40+H40,F42*D43/1000-B40*(D43-E40)^2/(2*10^6),F42*D43/1000-B40*H40*(D43-D41)/10^6))</f>
        <v>0</v>
      </c>
      <c r="E44" s="8">
        <f>IF(E43&lt;=E40,F42*E43/1000,IF(E43&lt;=E40+H40,F42*E43/1000-B40*(E43-E40)^2/(2*10^6),F42*E43/1000-B40*H40*(E43-D41)/10^6))</f>
        <v>0</v>
      </c>
      <c r="F44" s="8">
        <f>IF(F43&lt;=E40,F42*F43/1000,IF(F43&lt;=E40+H40,F42*F43/1000-B40*(F43-E40)^2/(2*10^6),F42*F43/1000-B40*H40*(F43-D41)/10^6))</f>
        <v>0</v>
      </c>
      <c r="G44" s="8">
        <f>IF(G43&lt;=E40,F42*G43/1000,IF(G43&lt;=E40+H40,F42*G43/1000-B40*(G43-E40)^2/(2*10^6),F42*G43/1000-B40*H40*(G43-D41)/10^6))</f>
        <v>0</v>
      </c>
      <c r="H44" s="8">
        <f>IF(H43&lt;=E40,F42*H43/1000,IF(H43&lt;=E40+H40,F42*H43/1000-B40*(H43-E40)^2/(2*10^6),F42*H43/1000-B40*H40*(H43-D41)/10^6))</f>
        <v>0</v>
      </c>
      <c r="I44" s="8">
        <f>IF(I43&lt;=E40,F42*I43/1000,IF(I43&lt;=E40+H40,F42*I43/1000-B40*(I43-E40)^2/(2*10^6),F42*I43/1000-B40*H40*(I43-D41)/10^6))</f>
        <v>0</v>
      </c>
      <c r="J44" s="8">
        <f>IF(J43&lt;=E40,F42*J43/1000,IF(J43&lt;=E40+H40,F42*J43/1000-B40*(J43-E40)^2/(2*10^6),F42*J43/1000-B40*H40*(J43-D41)/10^6))</f>
        <v>0</v>
      </c>
      <c r="K44" s="8">
        <f>IF(K43&lt;=E40,F42*K43/1000,IF(K43&lt;=E40+H40,F42*K43/1000-B40*(K43-E40)^2/(2*10^6),F42*K43/1000-B40*H40*(K43-D41)/10^6))</f>
        <v>0</v>
      </c>
      <c r="L44" s="8">
        <f>IF(L43&lt;=E40,F42*L43/1000,IF(L43&lt;=E40+H40,F42*L43/1000-B40*(L43-E40)^2/(2*10^6),F42*L43/1000-B40*H40*(L43-D41)/10^6))</f>
        <v>0</v>
      </c>
      <c r="M44" s="8">
        <f>IF(M43&lt;=E40,F42*M43/1000,IF(M43&lt;=E40+H40,F42*M43/1000-B40*(M43-E40)^2/(2*10^6),F42*M43/1000-B40*H40*(M43-D41)/10^6))</f>
        <v>0</v>
      </c>
    </row>
    <row r="45" ht="15.75" customHeight="1"/>
    <row r="46" spans="1:13" ht="15.75" customHeight="1">
      <c r="A46" s="34" t="s">
        <v>28</v>
      </c>
      <c r="B46" s="34"/>
      <c r="C46" s="8">
        <f>C9+C16+C23+C30+C37+C44</f>
        <v>0</v>
      </c>
      <c r="D46" s="8">
        <f aca="true" t="shared" si="0" ref="D46:M46">D9+D16+D23+D30+D37+D44</f>
        <v>31.379</v>
      </c>
      <c r="E46" s="8">
        <f t="shared" si="0"/>
        <v>62.758</v>
      </c>
      <c r="F46" s="8">
        <f t="shared" si="0"/>
        <v>94.137</v>
      </c>
      <c r="G46" s="8">
        <f t="shared" si="0"/>
        <v>125.466</v>
      </c>
      <c r="H46" s="8">
        <f t="shared" si="0"/>
        <v>156.695</v>
      </c>
      <c r="I46" s="8">
        <f t="shared" si="0"/>
        <v>87.824</v>
      </c>
      <c r="J46" s="8">
        <f t="shared" si="0"/>
        <v>18.853</v>
      </c>
      <c r="K46" s="8">
        <f t="shared" si="0"/>
        <v>-50.168</v>
      </c>
      <c r="L46" s="8">
        <f t="shared" si="0"/>
        <v>-119.189</v>
      </c>
      <c r="M46" s="8">
        <f t="shared" si="0"/>
        <v>-188.21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mergeCells count="57">
    <mergeCell ref="F5:G5"/>
    <mergeCell ref="A8:B8"/>
    <mergeCell ref="A9:B9"/>
    <mergeCell ref="A7:C7"/>
    <mergeCell ref="E7:G7"/>
    <mergeCell ref="A6:C6"/>
    <mergeCell ref="E6:G6"/>
    <mergeCell ref="A11:B11"/>
    <mergeCell ref="A1:B1"/>
    <mergeCell ref="A4:B4"/>
    <mergeCell ref="C5:D5"/>
    <mergeCell ref="A2:B2"/>
    <mergeCell ref="C12:D12"/>
    <mergeCell ref="F12:G12"/>
    <mergeCell ref="A13:C13"/>
    <mergeCell ref="E13:G13"/>
    <mergeCell ref="A27:C27"/>
    <mergeCell ref="E27:G27"/>
    <mergeCell ref="A25:B25"/>
    <mergeCell ref="A18:B18"/>
    <mergeCell ref="G35:I35"/>
    <mergeCell ref="A32:B32"/>
    <mergeCell ref="A29:B29"/>
    <mergeCell ref="A30:B30"/>
    <mergeCell ref="C33:D33"/>
    <mergeCell ref="F33:G33"/>
    <mergeCell ref="A34:C34"/>
    <mergeCell ref="E34:G34"/>
    <mergeCell ref="F40:G40"/>
    <mergeCell ref="E41:G41"/>
    <mergeCell ref="G42:I42"/>
    <mergeCell ref="A36:B36"/>
    <mergeCell ref="A37:B37"/>
    <mergeCell ref="A46:B46"/>
    <mergeCell ref="A22:B22"/>
    <mergeCell ref="A23:B23"/>
    <mergeCell ref="C40:D40"/>
    <mergeCell ref="A41:C41"/>
    <mergeCell ref="A42:E42"/>
    <mergeCell ref="A43:B43"/>
    <mergeCell ref="A44:B44"/>
    <mergeCell ref="A39:B39"/>
    <mergeCell ref="A35:E35"/>
    <mergeCell ref="A14:C14"/>
    <mergeCell ref="E14:G14"/>
    <mergeCell ref="A15:B15"/>
    <mergeCell ref="A16:B16"/>
    <mergeCell ref="A28:E28"/>
    <mergeCell ref="G28:I28"/>
    <mergeCell ref="C19:D19"/>
    <mergeCell ref="F19:G19"/>
    <mergeCell ref="A20:C20"/>
    <mergeCell ref="E20:G20"/>
    <mergeCell ref="A21:C21"/>
    <mergeCell ref="E21:G21"/>
    <mergeCell ref="C26:D26"/>
    <mergeCell ref="F26:G26"/>
  </mergeCells>
  <dataValidations count="11">
    <dataValidation type="decimal" operator="lessThanOrEqual" showInputMessage="1" showErrorMessage="1" error="a&gt;l，错误！请重新输入。" sqref="E5">
      <formula1>C2</formula1>
    </dataValidation>
    <dataValidation type="decimal" operator="lessThanOrEqual" showInputMessage="1" showErrorMessage="1" error="a&gt;l，错误！请重新输入。" sqref="E12">
      <formula1>C2</formula1>
    </dataValidation>
    <dataValidation type="decimal" operator="lessThanOrEqual" showInputMessage="1" showErrorMessage="1" error="a&gt;l，错误！请重新输入。" sqref="E19">
      <formula1>C2</formula1>
    </dataValidation>
    <dataValidation operator="lessThan" showInputMessage="1" showErrorMessage="1" sqref="D27 D34 D41"/>
    <dataValidation type="decimal" operator="lessThan" showInputMessage="1" showErrorMessage="1" error="a&gt;l，错误！请重新输入。" sqref="E33">
      <formula1>C2</formula1>
    </dataValidation>
    <dataValidation type="decimal" operator="lessThanOrEqual" showInputMessage="1" showErrorMessage="1" error="a&gt;l，错误！请重新输入。" sqref="H33">
      <formula1>C2</formula1>
    </dataValidation>
    <dataValidation operator="lessThanOrEqual" showInputMessage="1" showErrorMessage="1" sqref="E6:G6 E13:G13 E20:G20"/>
    <dataValidation type="decimal" operator="lessThan" showInputMessage="1" showErrorMessage="1" error="a&gt;l，错误！请重新输入。" sqref="E26">
      <formula1>C2</formula1>
    </dataValidation>
    <dataValidation type="decimal" operator="lessThanOrEqual" showInputMessage="1" showErrorMessage="1" error="a&gt;l，错误！请重新输入。" sqref="H26">
      <formula1>C2</formula1>
    </dataValidation>
    <dataValidation type="decimal" operator="lessThan" showInputMessage="1" showErrorMessage="1" error="a&gt;l，错误！请重新输入。" sqref="E40">
      <formula1>C2</formula1>
    </dataValidation>
    <dataValidation type="decimal" operator="lessThanOrEqual" showInputMessage="1" showErrorMessage="1" error="a&gt;l，错误！请重新输入。" sqref="H40">
      <formula1>C2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43" sqref="A43:B43"/>
    </sheetView>
  </sheetViews>
  <sheetFormatPr defaultColWidth="9.00390625" defaultRowHeight="14.25"/>
  <cols>
    <col min="1" max="13" width="9.625" style="1" customWidth="1"/>
    <col min="14" max="15" width="8.625" style="0" customWidth="1"/>
  </cols>
  <sheetData>
    <row r="1" spans="1:6" ht="15.75" customHeight="1">
      <c r="A1" s="37" t="s">
        <v>32</v>
      </c>
      <c r="B1" s="37"/>
      <c r="C1" s="2"/>
      <c r="D1" s="2"/>
      <c r="E1" s="2"/>
      <c r="F1" s="2"/>
    </row>
    <row r="2" spans="1:3" ht="15.75" customHeight="1">
      <c r="A2" s="34" t="s">
        <v>71</v>
      </c>
      <c r="B2" s="34"/>
      <c r="C2" s="3">
        <v>1000</v>
      </c>
    </row>
    <row r="3" ht="15.75" customHeight="1"/>
    <row r="4" spans="1:6" ht="15.75" customHeight="1">
      <c r="A4" s="37" t="s">
        <v>33</v>
      </c>
      <c r="B4" s="37"/>
      <c r="C4" s="2"/>
      <c r="D4" s="2"/>
      <c r="E4" s="2"/>
      <c r="F4" s="2"/>
    </row>
    <row r="5" spans="1:8" ht="15.75" customHeight="1">
      <c r="A5" s="4" t="s">
        <v>72</v>
      </c>
      <c r="B5" s="3">
        <v>1000</v>
      </c>
      <c r="C5" s="34" t="s">
        <v>73</v>
      </c>
      <c r="D5" s="34"/>
      <c r="E5" s="3">
        <v>500</v>
      </c>
      <c r="F5" s="34" t="s">
        <v>74</v>
      </c>
      <c r="G5" s="34"/>
      <c r="H5" s="3">
        <f>C2-E5</f>
        <v>500</v>
      </c>
    </row>
    <row r="6" spans="1:8" ht="15.75" customHeight="1">
      <c r="A6" s="38" t="s">
        <v>34</v>
      </c>
      <c r="B6" s="39"/>
      <c r="C6" s="40"/>
      <c r="D6" s="7">
        <f>E5/C2</f>
        <v>0.5</v>
      </c>
      <c r="E6" s="38" t="s">
        <v>35</v>
      </c>
      <c r="F6" s="39"/>
      <c r="G6" s="40"/>
      <c r="H6" s="7">
        <f>H5/C2</f>
        <v>0.5</v>
      </c>
    </row>
    <row r="7" spans="1:8" ht="15.75" customHeight="1">
      <c r="A7" s="36" t="s">
        <v>76</v>
      </c>
      <c r="B7" s="36"/>
      <c r="C7" s="36"/>
      <c r="D7" s="5">
        <f>B5*H5^2*(1+2*D6)/C2^2</f>
        <v>500</v>
      </c>
      <c r="E7" s="36" t="s">
        <v>75</v>
      </c>
      <c r="F7" s="36"/>
      <c r="G7" s="36"/>
      <c r="H7" s="5">
        <f>B5*E5^2*(1+2*H6)/C2^2</f>
        <v>500</v>
      </c>
    </row>
    <row r="8" spans="1:13" ht="15.75" customHeight="1">
      <c r="A8" s="34" t="s">
        <v>22</v>
      </c>
      <c r="B8" s="35"/>
      <c r="C8" s="4">
        <v>0</v>
      </c>
      <c r="D8" s="4">
        <f>0.1*C2</f>
        <v>100</v>
      </c>
      <c r="E8" s="4">
        <f>0.2*C2</f>
        <v>200</v>
      </c>
      <c r="F8" s="4">
        <f>0.3*C2</f>
        <v>300</v>
      </c>
      <c r="G8" s="4">
        <f>0.4*C2</f>
        <v>400</v>
      </c>
      <c r="H8" s="4">
        <f>0.5*C2</f>
        <v>500</v>
      </c>
      <c r="I8" s="4">
        <f>0.6*C2</f>
        <v>600</v>
      </c>
      <c r="J8" s="4">
        <f>0.7*C2</f>
        <v>700</v>
      </c>
      <c r="K8" s="4">
        <f>0.8*C2</f>
        <v>800</v>
      </c>
      <c r="L8" s="4">
        <f>0.9*C2</f>
        <v>900</v>
      </c>
      <c r="M8" s="4">
        <f>C2</f>
        <v>1000</v>
      </c>
    </row>
    <row r="9" spans="1:13" ht="15.75" customHeight="1">
      <c r="A9" s="34" t="s">
        <v>77</v>
      </c>
      <c r="B9" s="34"/>
      <c r="C9" s="8">
        <f>IF(C8&lt;=E5,-B5*E5*H5^2/C2^2/1000+D7*C8/1000,-B5*E5*H5^2/C2^2/1000+D7*C8/1000-B5*(C8-E5)/1000)</f>
        <v>-125</v>
      </c>
      <c r="D9" s="8">
        <f>IF(D8&lt;=E5,-B5*E5*H5^2/C2^2/1000+D7*D8/1000,-B5*E5*H5^2/C2^2/1000+D7*D8/1000-B5*(D8-E5)/1000)</f>
        <v>-75</v>
      </c>
      <c r="E9" s="8">
        <f>IF(E8&lt;=E5,-B5*E5*H5^2/C2^2/1000+D7*E8/1000,-B5*E5*H5^2/C2^2/1000+D7*E8/1000-B5*(E8-E5)/1000)</f>
        <v>-25</v>
      </c>
      <c r="F9" s="8">
        <f>IF(F8&lt;=E5,-B5*E5*H5^2/C2^2/1000+D7*F8/1000,-B5*E5*H5^2/C2^2/1000+D7*F8/1000-B5*(F8-E5)/1000)</f>
        <v>25</v>
      </c>
      <c r="G9" s="8">
        <f>IF(G8&lt;=E5,-B5*E5*H5^2/C2^2/1000+D7*G8/1000,-B5*E5*H5^2/C2^2/1000+D7*G8/1000-B5*(G8-E5)/1000)</f>
        <v>75</v>
      </c>
      <c r="H9" s="8">
        <f>IF(H8&lt;=E5,-B5*E5*H5^2/C2^2/1000+D7*H8/1000,-B5*E5*H5^2/C2^2/1000+D7*H8/1000-B5*(H8-E5)/1000)</f>
        <v>125</v>
      </c>
      <c r="I9" s="8">
        <f>IF(I8&lt;=E5,-B5*E5*H5^2/C2^2/1000+D7*I8/1000,-B5*E5*H5^2/C2^2/1000+D7*I8/1000-B5*(I8-E5)/1000)</f>
        <v>75</v>
      </c>
      <c r="J9" s="8">
        <f>IF(J8&lt;=E5,-B5*E5*H5^2/C2^2/1000+D7*J8/1000,-B5*E5*H5^2/C2^2/1000+D7*J8/1000-B5*(J8-E5)/1000)</f>
        <v>25</v>
      </c>
      <c r="K9" s="8">
        <f>IF(K8&lt;=E5,-B5*E5*H5^2/C2^2/1000+D7*K8/1000,-B5*E5*H5^2/C2^2/1000+D7*K8/1000-B5*(K8-E5)/1000)</f>
        <v>-25</v>
      </c>
      <c r="L9" s="8">
        <f>IF(L8&lt;=E5,-B5*E5*H5^2/C2^2/1000+D7*L8/1000,-B5*E5*H5^2/C2^2/1000+D7*L8/1000-B5*(L8-E5)/1000)</f>
        <v>-75</v>
      </c>
      <c r="M9" s="8">
        <f>IF(M8&lt;=E5,-B5*E5*H5^2/C2^2/1000+D7*M8/1000,-B5*E5*H5^2/C2^2/1000+D7*M8/1000-B5*(M8-E5)/1000)</f>
        <v>-125</v>
      </c>
    </row>
    <row r="10" ht="15.75" customHeight="1"/>
    <row r="11" spans="1:6" ht="15.75" customHeight="1">
      <c r="A11" s="37" t="s">
        <v>33</v>
      </c>
      <c r="B11" s="37"/>
      <c r="C11" s="2"/>
      <c r="D11" s="2"/>
      <c r="E11" s="2"/>
      <c r="F11" s="2"/>
    </row>
    <row r="12" spans="1:8" ht="15.75" customHeight="1">
      <c r="A12" s="4" t="s">
        <v>78</v>
      </c>
      <c r="B12" s="3">
        <v>0</v>
      </c>
      <c r="C12" s="34" t="s">
        <v>73</v>
      </c>
      <c r="D12" s="34"/>
      <c r="E12" s="3">
        <v>500</v>
      </c>
      <c r="F12" s="34" t="s">
        <v>74</v>
      </c>
      <c r="G12" s="34"/>
      <c r="H12" s="3">
        <f>C2-E12</f>
        <v>500</v>
      </c>
    </row>
    <row r="13" spans="1:8" ht="15.75" customHeight="1">
      <c r="A13" s="38" t="s">
        <v>34</v>
      </c>
      <c r="B13" s="39"/>
      <c r="C13" s="40"/>
      <c r="D13" s="7">
        <f>E12/C2</f>
        <v>0.5</v>
      </c>
      <c r="E13" s="38" t="s">
        <v>35</v>
      </c>
      <c r="F13" s="39"/>
      <c r="G13" s="40"/>
      <c r="H13" s="7">
        <f>H12/C2</f>
        <v>0.5</v>
      </c>
    </row>
    <row r="14" spans="1:8" ht="15.75" customHeight="1">
      <c r="A14" s="36" t="s">
        <v>76</v>
      </c>
      <c r="B14" s="36"/>
      <c r="C14" s="36"/>
      <c r="D14" s="5">
        <f>B12*H12^2*(1+2*D13)/C2^2</f>
        <v>0</v>
      </c>
      <c r="E14" s="36" t="s">
        <v>75</v>
      </c>
      <c r="F14" s="36"/>
      <c r="G14" s="36"/>
      <c r="H14" s="5">
        <f>B12*E12^2*(1+2*H13)/C2^2</f>
        <v>0</v>
      </c>
    </row>
    <row r="15" spans="1:13" ht="15.75" customHeight="1">
      <c r="A15" s="34" t="s">
        <v>36</v>
      </c>
      <c r="B15" s="35"/>
      <c r="C15" s="4">
        <v>0</v>
      </c>
      <c r="D15" s="4">
        <f>0.1*C2</f>
        <v>100</v>
      </c>
      <c r="E15" s="4">
        <f>0.2*C2</f>
        <v>200</v>
      </c>
      <c r="F15" s="4">
        <f>0.3*C2</f>
        <v>300</v>
      </c>
      <c r="G15" s="4">
        <f>0.4*C2</f>
        <v>400</v>
      </c>
      <c r="H15" s="4">
        <f>0.5*C2</f>
        <v>500</v>
      </c>
      <c r="I15" s="4">
        <f>0.6*C2</f>
        <v>600</v>
      </c>
      <c r="J15" s="4">
        <f>0.7*C2</f>
        <v>700</v>
      </c>
      <c r="K15" s="4">
        <f>0.8*C2</f>
        <v>800</v>
      </c>
      <c r="L15" s="4">
        <f>0.9*C2</f>
        <v>900</v>
      </c>
      <c r="M15" s="4">
        <f>C2</f>
        <v>1000</v>
      </c>
    </row>
    <row r="16" spans="1:13" ht="15.75" customHeight="1">
      <c r="A16" s="34" t="s">
        <v>77</v>
      </c>
      <c r="B16" s="34"/>
      <c r="C16" s="8">
        <f>IF(C15&lt;=E12,-B12*E12*H12^2/C2^2/1000+D14*C15/1000,-B12*E12*H12^2/C2^2/1000+D14*C15/1000-B12*(C15-E12)/1000)</f>
        <v>0</v>
      </c>
      <c r="D16" s="8">
        <f>IF(D15&lt;=E12,-B12*E12*H12^2/C2^2/1000+D14*D15/1000,-B12*E12*H12^2/C2^2/1000+D14*D15/1000-B12*(D15-E12)/1000)</f>
        <v>0</v>
      </c>
      <c r="E16" s="8">
        <f>IF(E15&lt;=E12,-B12*E12*H12^2/C2^2/1000+D14*E15/1000,-B12*E12*H12^2/C2^2/1000+D14*E15/1000-B12*(E15-E12)/1000)</f>
        <v>0</v>
      </c>
      <c r="F16" s="8">
        <f>IF(F15&lt;=E12,-B12*E12*H12^2/C2^2/1000+D14*F15/1000,-B12*E12*H12^2/C2^2/1000+D14*F15/1000-B12*(F15-E12)/1000)</f>
        <v>0</v>
      </c>
      <c r="G16" s="8">
        <f>IF(G15&lt;=E12,-B12*E12*H12^2/C2^2/1000+D14*G15/1000,-B12*E12*H12^2/C2^2/1000+D14*G15/1000-B12*(G15-E12)/1000)</f>
        <v>0</v>
      </c>
      <c r="H16" s="8">
        <f>IF(H15&lt;=E12,-B12*E12*H12^2/C2^2/1000+D14*H15/1000,-B12*E12*H12^2/C2^2/1000+D14*H15/1000-B12*(H15-E12)/1000)</f>
        <v>0</v>
      </c>
      <c r="I16" s="8">
        <f>IF(I15&lt;=E12,-B12*E12*H12^2/C2^2/1000+D14*I15/1000,-B12*E12*H12^2/C2^2/1000+D14*I15/1000-B12*(I15-E12)/1000)</f>
        <v>0</v>
      </c>
      <c r="J16" s="8">
        <f>IF(J15&lt;=E12,-B12*E12*H12^2/C2^2/1000+D14*J15/1000,-B12*E12*H12^2/C2^2/1000+D14*J15/1000-B12*(J15-E12)/1000)</f>
        <v>0</v>
      </c>
      <c r="K16" s="8">
        <f>IF(K15&lt;=E12,-B12*E12*H12^2/C2^2/1000+D14*K15/1000,-B12*E12*H12^2/C2^2/1000+D14*K15/1000-B12*(K15-E12)/1000)</f>
        <v>0</v>
      </c>
      <c r="L16" s="8">
        <f>IF(L15&lt;=E12,-B12*E12*H12^2/C2^2/1000+D14*L15/1000,-B12*E12*H12^2/C2^2/1000+D14*L15/1000-B12*(L15-E12)/1000)</f>
        <v>0</v>
      </c>
      <c r="M16" s="8">
        <f>IF(M15&lt;=E12,-B12*E12*H12^2/C2^2/1000+D14*M15/1000,-B12*E12*H12^2/C2^2/1000+D14*M15/1000-B12*(M15-E12)/1000)</f>
        <v>0</v>
      </c>
    </row>
    <row r="17" ht="15.75" customHeight="1"/>
    <row r="18" spans="1:6" ht="15.75" customHeight="1">
      <c r="A18" s="37" t="s">
        <v>33</v>
      </c>
      <c r="B18" s="37"/>
      <c r="C18" s="2"/>
      <c r="D18" s="2"/>
      <c r="E18" s="2"/>
      <c r="F18" s="2"/>
    </row>
    <row r="19" spans="1:8" ht="15.75" customHeight="1">
      <c r="A19" s="4" t="s">
        <v>72</v>
      </c>
      <c r="B19" s="3">
        <v>0</v>
      </c>
      <c r="C19" s="34" t="s">
        <v>73</v>
      </c>
      <c r="D19" s="34"/>
      <c r="E19" s="3">
        <v>500</v>
      </c>
      <c r="F19" s="34" t="s">
        <v>74</v>
      </c>
      <c r="G19" s="34"/>
      <c r="H19" s="3">
        <f>C2-E19</f>
        <v>500</v>
      </c>
    </row>
    <row r="20" spans="1:8" ht="15.75" customHeight="1">
      <c r="A20" s="38" t="s">
        <v>34</v>
      </c>
      <c r="B20" s="39"/>
      <c r="C20" s="40"/>
      <c r="D20" s="7">
        <f>E19/C2</f>
        <v>0.5</v>
      </c>
      <c r="E20" s="38" t="s">
        <v>35</v>
      </c>
      <c r="F20" s="39"/>
      <c r="G20" s="40"/>
      <c r="H20" s="7">
        <f>H19/C2</f>
        <v>0.5</v>
      </c>
    </row>
    <row r="21" spans="1:8" ht="15.75" customHeight="1">
      <c r="A21" s="36" t="s">
        <v>76</v>
      </c>
      <c r="B21" s="36"/>
      <c r="C21" s="36"/>
      <c r="D21" s="5">
        <f>B19*H19^2*(1+2*D20)/C2^2</f>
        <v>0</v>
      </c>
      <c r="E21" s="36" t="s">
        <v>75</v>
      </c>
      <c r="F21" s="36"/>
      <c r="G21" s="36"/>
      <c r="H21" s="5">
        <f>B19*E19^2*(1+2*H20)/C2^2</f>
        <v>0</v>
      </c>
    </row>
    <row r="22" spans="1:13" ht="15.75" customHeight="1">
      <c r="A22" s="34" t="s">
        <v>36</v>
      </c>
      <c r="B22" s="35"/>
      <c r="C22" s="4">
        <v>0</v>
      </c>
      <c r="D22" s="4">
        <f>0.1*C2</f>
        <v>100</v>
      </c>
      <c r="E22" s="4">
        <f>0.2*C2</f>
        <v>200</v>
      </c>
      <c r="F22" s="4">
        <f>0.3*C2</f>
        <v>300</v>
      </c>
      <c r="G22" s="4">
        <f>0.4*C2</f>
        <v>400</v>
      </c>
      <c r="H22" s="4">
        <f>0.5*C2</f>
        <v>500</v>
      </c>
      <c r="I22" s="4">
        <f>0.6*C2</f>
        <v>600</v>
      </c>
      <c r="J22" s="4">
        <f>0.7*C2</f>
        <v>700</v>
      </c>
      <c r="K22" s="4">
        <f>0.8*C2</f>
        <v>800</v>
      </c>
      <c r="L22" s="4">
        <f>0.9*C2</f>
        <v>900</v>
      </c>
      <c r="M22" s="4">
        <f>C2</f>
        <v>1000</v>
      </c>
    </row>
    <row r="23" spans="1:13" ht="15.75" customHeight="1">
      <c r="A23" s="34" t="s">
        <v>77</v>
      </c>
      <c r="B23" s="34"/>
      <c r="C23" s="8">
        <f>IF(C22&lt;=E19,-B19*E19*H19^2/C2^2/1000+D21*C22/1000,-B19*E19*H19^2/C2^2/1000+D21*C22/1000-B19*(C22-E19)/1000)</f>
        <v>0</v>
      </c>
      <c r="D23" s="8">
        <f>IF(D22&lt;=E19,-B19*E19*H19^2/C2^2/1000+D21*D22/1000,-B19*E19*H19^2/C2^2/1000+D21*D22/1000-B19*(D22-E19)/1000)</f>
        <v>0</v>
      </c>
      <c r="E23" s="8">
        <f>IF(E22&lt;=E19,-B19*E19*H19^2/C2^2/1000+D21*E22/1000,-B19*E19*H19^2/C2^2/1000+D21*E22/1000-B19*(E22-E19)/1000)</f>
        <v>0</v>
      </c>
      <c r="F23" s="8">
        <f>IF(F22&lt;=E19,-B19*E19*H19^2/C2^2/1000+D21*F22/1000,-B19*E19*H19^2/C2^2/1000+D21*F22/1000-B19*(F22-E19)/1000)</f>
        <v>0</v>
      </c>
      <c r="G23" s="8">
        <f>IF(G22&lt;=E19,-B19*E19*H19^2/C2^2/1000+D21*G22/1000,-B19*E19*H19^2/C2^2/1000+D21*G22/1000-B19*(G22-E19)/1000)</f>
        <v>0</v>
      </c>
      <c r="H23" s="8">
        <f>IF(H22&lt;=E19,-B19*E19*H19^2/C2^2/1000+D21*H22/1000,-B19*E19*H19^2/C2^2/1000+D21*H22/1000-B19*(H22-E19)/1000)</f>
        <v>0</v>
      </c>
      <c r="I23" s="8">
        <f>IF(I22&lt;=E19,-B19*E19*H19^2/C2^2/1000+D21*I22/1000,-B19*E19*H19^2/C2^2/1000+D21*I22/1000-B19*(I22-E19)/1000)</f>
        <v>0</v>
      </c>
      <c r="J23" s="8">
        <f>IF(J22&lt;=E19,-B19*E19*H19^2/C2^2/1000+D21*J22/1000,-B19*E19*H19^2/C2^2/1000+D21*J22/1000-B19*(J22-E19)/1000)</f>
        <v>0</v>
      </c>
      <c r="K23" s="8">
        <f>IF(K22&lt;=E19,-B19*E19*H19^2/C2^2/1000+D21*K22/1000,-B19*E19*H19^2/C2^2/1000+D21*K22/1000-B19*(K22-E19)/1000)</f>
        <v>0</v>
      </c>
      <c r="L23" s="8">
        <f>IF(L22&lt;=E19,-B19*E19*H19^2/C2^2/1000+D21*L22/1000,-B19*E19*H19^2/C2^2/1000+D21*L22/1000-B19*(L22-E19)/1000)</f>
        <v>0</v>
      </c>
      <c r="M23" s="8">
        <f>IF(M22&lt;=E19,-B19*E19*H19^2/C2^2/1000+D21*M22/1000,-B19*E19*H19^2/C2^2/1000+D21*M22/1000-B19*(M22-E19)/1000)</f>
        <v>0</v>
      </c>
    </row>
    <row r="24" ht="15.75" customHeight="1"/>
    <row r="25" spans="1:2" ht="15.75" customHeight="1">
      <c r="A25" s="37" t="s">
        <v>38</v>
      </c>
      <c r="B25" s="37"/>
    </row>
    <row r="26" spans="1:8" ht="15.75" customHeight="1">
      <c r="A26" s="4" t="s">
        <v>10</v>
      </c>
      <c r="B26" s="3">
        <v>10</v>
      </c>
      <c r="C26" s="34" t="s">
        <v>79</v>
      </c>
      <c r="D26" s="34"/>
      <c r="E26" s="3">
        <v>300</v>
      </c>
      <c r="F26" s="34" t="s">
        <v>80</v>
      </c>
      <c r="G26" s="34"/>
      <c r="H26" s="3">
        <v>400</v>
      </c>
    </row>
    <row r="27" spans="1:8" ht="15.75" customHeight="1">
      <c r="A27" s="34" t="s">
        <v>82</v>
      </c>
      <c r="B27" s="34"/>
      <c r="C27" s="34"/>
      <c r="D27" s="3">
        <f>E26+H26/2</f>
        <v>500</v>
      </c>
      <c r="E27" s="34" t="s">
        <v>81</v>
      </c>
      <c r="F27" s="34"/>
      <c r="G27" s="34"/>
      <c r="H27" s="3">
        <f>C2-D27</f>
        <v>500</v>
      </c>
    </row>
    <row r="28" spans="1:11" ht="15.75" customHeight="1">
      <c r="A28" s="38" t="s">
        <v>83</v>
      </c>
      <c r="B28" s="39"/>
      <c r="C28" s="39"/>
      <c r="D28" s="39"/>
      <c r="E28" s="40"/>
      <c r="F28" s="3">
        <f>B26*H26*(12*H27^2*C2-8*H27^3+H26^2*C2-2*H27*H26^2)/(4*C2^3*1000)</f>
        <v>2</v>
      </c>
      <c r="G28" s="38" t="s">
        <v>84</v>
      </c>
      <c r="H28" s="39"/>
      <c r="I28" s="40"/>
      <c r="J28" s="3">
        <f>B26*H26/1000-F28</f>
        <v>2</v>
      </c>
      <c r="K28" s="9"/>
    </row>
    <row r="29" spans="1:13" ht="15.75" customHeight="1">
      <c r="A29" s="34" t="s">
        <v>36</v>
      </c>
      <c r="B29" s="35"/>
      <c r="C29" s="4">
        <v>0</v>
      </c>
      <c r="D29" s="4">
        <f>0.1*C2</f>
        <v>100</v>
      </c>
      <c r="E29" s="4">
        <f>0.2*C2</f>
        <v>200</v>
      </c>
      <c r="F29" s="4">
        <f>0.3*C2</f>
        <v>300</v>
      </c>
      <c r="G29" s="4">
        <f>0.4*C2</f>
        <v>400</v>
      </c>
      <c r="H29" s="4">
        <f>0.5*C2</f>
        <v>500</v>
      </c>
      <c r="I29" s="4">
        <f>0.6*C2</f>
        <v>600</v>
      </c>
      <c r="J29" s="4">
        <f>0.7*C2</f>
        <v>700</v>
      </c>
      <c r="K29" s="4">
        <f>0.8*C2</f>
        <v>800</v>
      </c>
      <c r="L29" s="4">
        <f>0.9*C2</f>
        <v>900</v>
      </c>
      <c r="M29" s="4">
        <f>C2</f>
        <v>1000</v>
      </c>
    </row>
    <row r="30" spans="1:13" ht="15.75" customHeight="1">
      <c r="A30" s="34" t="s">
        <v>37</v>
      </c>
      <c r="B30" s="34"/>
      <c r="C30" s="8">
        <f>IF(C29&lt;=E26,-B26*H26*(12*D27*H27^2-3*H27*H26^2+H26^2*C2)/(12*C2^2*10^6)+F28*C29/1000,IF(C29&lt;=E26+H26,-B26*H26*(12*D27*H27^2-3*H27*H26^2+H26^2*C2)/(12*C2^2*10^6)+F28*C29/1000-B26*(C29-E26)^2/(2*10^6),-B26*H26*(12*D27*H27^2-3*H27*H26^2+H26^2*C2)/(12*C2^2*10^6)+F28*C29/1000-B26*H26*(C29-D27)/10^6))</f>
        <v>-0.47333333333333333</v>
      </c>
      <c r="D30" s="8">
        <f>IF(D29&lt;=E26,-B26*H26*(12*D27*H27^2-3*H27*H26^2+H26^2*C2)/(12*C2^2*10^6)+F28*D29/1000,IF(D29&lt;=E26+H26,-B26*H26*(12*D27*H27^2-3*H27*H26^2+H26^2*C2)/(12*C2^2*10^6)+F28*D29/1000-B26*(D29-E26)^2/(2*10^6),-B26*H26*(12*D27*H27^2-3*H27*H26^2+H26^2*C2)/(12*C2^2*10^6)+F28*D29/1000-B26*H26*(D29-D27)/10^6))</f>
        <v>-0.2733333333333333</v>
      </c>
      <c r="E30" s="8">
        <f>IF(E29&lt;=E26,-B26*H26*(12*D27*H27^2-3*H27*H26^2+H26^2*C2)/(12*C2^2*10^6)+F28*E29/1000,IF(E29&lt;=E26+H26,-B26*H26*(12*D27*H27^2-3*H27*H26^2+H26^2*C2)/(12*C2^2*10^6)+F28*E29/1000-B26*(E29-E26)^2/(2*10^6),-B26*H26*(12*D27*H27^2-3*H27*H26^2+H26^2*C2)/(12*C2^2*10^6)+F28*E29/1000-B26*H26*(E29-D27)/10^6))</f>
        <v>-0.0733333333333333</v>
      </c>
      <c r="F30" s="8">
        <f>IF(F29&lt;=E26,-B26*H26*(12*D27*H27^2-3*H27*H26^2+H26^2*C2)/(12*C2^2*10^6)+F28*F29/1000,IF(F29&lt;=E26+H26,-B26*H26*(12*D27*H27^2-3*H27*H26^2+H26^2*C2)/(12*C2^2*10^6)+F28*F29/1000-B26*(F29-E26)^2/(2*10^6),-B26*H26*(12*D27*H27^2-3*H27*H26^2+H26^2*C2)/(12*C2^2*10^6)+F28*F29/1000-B26*H26*(F29-D27)/10^6))</f>
        <v>0.12666666666666665</v>
      </c>
      <c r="G30" s="8">
        <f>IF(G29&lt;=E26,-B26*H26*(12*D27*H27^2-3*H27*H26^2+H26^2*C2)/(12*C2^2*10^6)+F28*G29/1000,IF(G29&lt;=E26+H26,-B26*H26*(12*D27*H27^2-3*H27*H26^2+H26^2*C2)/(12*C2^2*10^6)+F28*G29/1000-B26*(G29-E26)^2/(2*10^6),-B26*H26*(12*D27*H27^2-3*H27*H26^2+H26^2*C2)/(12*C2^2*10^6)+F28*G29/1000-B26*H26*(G29-D27)/10^6))</f>
        <v>0.2766666666666667</v>
      </c>
      <c r="H30" s="8">
        <f>IF(H29&lt;=E26,-B26*H26*(12*D27*H27^2-3*H27*H26^2+H26^2*C2)/(12*C2^2*10^6)+F28*H29/1000,IF(H29&lt;=E26+H26,-B26*H26*(12*D27*H27^2-3*H27*H26^2+H26^2*C2)/(12*C2^2*10^6)+F28*H29/1000-B26*(H29-E26)^2/(2*10^6),-B26*H26*(12*D27*H27^2-3*H27*H26^2+H26^2*C2)/(12*C2^2*10^6)+F28*H29/1000-B26*H26*(H29-D27)/10^6))</f>
        <v>0.3266666666666666</v>
      </c>
      <c r="I30" s="8">
        <f>IF(I29&lt;=E26,-B26*H26*(12*D27*H27^2-3*H27*H26^2+H26^2*C2)/(12*C2^2*10^6)+F28*I29/1000,IF(I29&lt;=E26+H26,-B26*H26*(12*D27*H27^2-3*H27*H26^2+H26^2*C2)/(12*C2^2*10^6)+F28*I29/1000-B26*(I29-E26)^2/(2*10^6),-B26*H26*(12*D27*H27^2-3*H27*H26^2+H26^2*C2)/(12*C2^2*10^6)+F28*I29/1000-B26*H26*(I29-D27)/10^6))</f>
        <v>0.27666666666666656</v>
      </c>
      <c r="J30" s="8">
        <f>IF(J29&lt;=E26,-B26*H26*(12*D27*H27^2-3*H27*H26^2+H26^2*C2)/(12*C2^2*10^6)+F28*J29/1000,IF(J29&lt;=E26+H26,-B26*H26*(12*D27*H27^2-3*H27*H26^2+H26^2*C2)/(12*C2^2*10^6)+F28*J29/1000-B26*(J29-E26)^2/(2*10^6),-B26*H26*(12*D27*H27^2-3*H27*H26^2+H26^2*C2)/(12*C2^2*10^6)+F28*J29/1000-B26*H26*(J29-D27)/10^6))</f>
        <v>0.12666666666666648</v>
      </c>
      <c r="K30" s="8">
        <f>IF(K29&lt;=E26,-B26*H26*(12*D27*H27^2-3*H27*H26^2+H26^2*C2)/(12*C2^2*10^6)+F28*K29/1000,IF(K29&lt;=E26+H26,-B26*H26*(12*D27*H27^2-3*H27*H26^2+H26^2*C2)/(12*C2^2*10^6)+F28*K29/1000-B26*(K29-E26)^2/(2*10^6),-B26*H26*(12*D27*H27^2-3*H27*H26^2+H26^2*C2)/(12*C2^2*10^6)+F28*K29/1000-B26*H26*(K29-D27)/10^6))</f>
        <v>-0.07333333333333325</v>
      </c>
      <c r="L30" s="8">
        <f>IF(L29&lt;=E26,-B26*H26*(12*D27*H27^2-3*H27*H26^2+H26^2*C2)/(12*C2^2*10^6)+F28*L29/1000,IF(L29&lt;=E26+H26,-B26*H26*(12*D27*H27^2-3*H27*H26^2+H26^2*C2)/(12*C2^2*10^6)+F28*L29/1000-B26*(L29-E26)^2/(2*10^6),-B26*H26*(12*D27*H27^2-3*H27*H26^2+H26^2*C2)/(12*C2^2*10^6)+F28*L29/1000-B26*H26*(L29-D27)/10^6))</f>
        <v>-0.27333333333333343</v>
      </c>
      <c r="M30" s="8">
        <f>IF(M29&lt;=E26,-B26*H26*(12*D27*H27^2-3*H27*H26^2+H26^2*C2)/(12*C2^2*10^6)+F28*M29/1000,IF(M29&lt;=E26+H26,-B26*H26*(12*D27*H27^2-3*H27*H26^2+H26^2*C2)/(12*C2^2*10^6)+F28*M29/1000-B26*(M29-E26)^2/(2*10^6),-B26*H26*(12*D27*H27^2-3*H27*H26^2+H26^2*C2)/(12*C2^2*10^6)+F28*M29/1000-B26*H26*(M29-D27)/10^6))</f>
        <v>-0.4733333333333334</v>
      </c>
    </row>
    <row r="31" ht="15.75" customHeight="1"/>
    <row r="32" spans="1:2" ht="15.75" customHeight="1">
      <c r="A32" s="37" t="s">
        <v>38</v>
      </c>
      <c r="B32" s="37"/>
    </row>
    <row r="33" spans="1:8" ht="15.75" customHeight="1">
      <c r="A33" s="4" t="s">
        <v>39</v>
      </c>
      <c r="B33" s="3">
        <v>0</v>
      </c>
      <c r="C33" s="34" t="s">
        <v>79</v>
      </c>
      <c r="D33" s="34"/>
      <c r="E33" s="3">
        <v>300</v>
      </c>
      <c r="F33" s="34" t="s">
        <v>80</v>
      </c>
      <c r="G33" s="34"/>
      <c r="H33" s="3">
        <v>400</v>
      </c>
    </row>
    <row r="34" spans="1:8" ht="15.75" customHeight="1">
      <c r="A34" s="34" t="s">
        <v>82</v>
      </c>
      <c r="B34" s="34"/>
      <c r="C34" s="34"/>
      <c r="D34" s="3">
        <f>E33+H33/2</f>
        <v>500</v>
      </c>
      <c r="E34" s="34" t="s">
        <v>81</v>
      </c>
      <c r="F34" s="34"/>
      <c r="G34" s="34"/>
      <c r="H34" s="3">
        <f>C2-D34</f>
        <v>500</v>
      </c>
    </row>
    <row r="35" spans="1:11" ht="15.75" customHeight="1">
      <c r="A35" s="38" t="s">
        <v>40</v>
      </c>
      <c r="B35" s="39"/>
      <c r="C35" s="39"/>
      <c r="D35" s="39"/>
      <c r="E35" s="40"/>
      <c r="F35" s="3">
        <f>B33*H33*(12*H34^2*C2-8*H34^3+H33^2*C2-2*H34*H33^2)/(4*C2^3*1000)</f>
        <v>0</v>
      </c>
      <c r="G35" s="38" t="s">
        <v>41</v>
      </c>
      <c r="H35" s="39"/>
      <c r="I35" s="40"/>
      <c r="J35" s="3">
        <f>B33*H33/1000-F35</f>
        <v>0</v>
      </c>
      <c r="K35" s="9"/>
    </row>
    <row r="36" spans="1:13" ht="15.75" customHeight="1">
      <c r="A36" s="34" t="s">
        <v>36</v>
      </c>
      <c r="B36" s="35"/>
      <c r="C36" s="4">
        <v>0</v>
      </c>
      <c r="D36" s="4">
        <f>0.1*C2</f>
        <v>100</v>
      </c>
      <c r="E36" s="4">
        <f>0.2*C2</f>
        <v>200</v>
      </c>
      <c r="F36" s="4">
        <f>0.3*C2</f>
        <v>300</v>
      </c>
      <c r="G36" s="4">
        <f>0.4*C2</f>
        <v>400</v>
      </c>
      <c r="H36" s="4">
        <f>0.5*C2</f>
        <v>500</v>
      </c>
      <c r="I36" s="4">
        <f>0.6*C2</f>
        <v>600</v>
      </c>
      <c r="J36" s="4">
        <f>0.7*C2</f>
        <v>700</v>
      </c>
      <c r="K36" s="4">
        <f>0.8*C2</f>
        <v>800</v>
      </c>
      <c r="L36" s="4">
        <f>0.9*C2</f>
        <v>900</v>
      </c>
      <c r="M36" s="4">
        <f>C2</f>
        <v>1000</v>
      </c>
    </row>
    <row r="37" spans="1:13" ht="15.75" customHeight="1">
      <c r="A37" s="34" t="s">
        <v>77</v>
      </c>
      <c r="B37" s="34"/>
      <c r="C37" s="8">
        <f>IF(C36&lt;=E33,-B33*H33*(12*D34*H34^2-3*H34*H33^2+H33^2*C2)/(12*C2^2*10^6)+F35*C36/1000,IF(C36&lt;=E33+H33,-B33*H33*(12*D34*H34^2-3*H34*H33^2+H33^2*C2)/(12*C2^2*10^6)+F35*C36/1000-B33*(C36-E33)^2/(2*10^6),-B33*H33*(12*D34*H34^2-3*H34*H33^2+H33^2*C2)/(12*C2^2*10^6)+F35*C36/1000-B33*H33*(C36-D34)/10^6))</f>
        <v>0</v>
      </c>
      <c r="D37" s="8">
        <f>IF(D36&lt;=E33,-B33*H33*(12*D34*H34^2-3*H34*H33^2+H33^2*C2)/(12*C2^2*10^6)+F35*D36/1000,IF(D36&lt;=E33+H33,-B33*H33*(12*D34*H34^2-3*H34*H33^2+H33^2*C2)/(12*C2^2*10^6)+F35*D36/1000-B33*(D36-E33)^2/(2*10^6),-B33*H33*(12*D34*H34^2-3*H34*H33^2+H33^2*C2)/(12*C2^2*10^6)+F35*D36/1000-B33*H33*(D36-D34)/10^6))</f>
        <v>0</v>
      </c>
      <c r="E37" s="8">
        <f>IF(E36&lt;=E33,-B33*H33*(12*D34*H34^2-3*H34*H33^2+H33^2*C2)/(12*C2^2*10^6)+F35*E36/1000,IF(E36&lt;=E33+H33,-B33*H33*(12*D34*H34^2-3*H34*H33^2+H33^2*C2)/(12*C2^2*10^6)+F35*E36/1000-B33*(E36-E33)^2/(2*10^6),-B33*H33*(12*D34*H34^2-3*H34*H33^2+H33^2*C2)/(12*C2^2*10^6)+F35*E36/1000-B33*H33*(E36-D34)/10^6))</f>
        <v>0</v>
      </c>
      <c r="F37" s="8">
        <f>IF(F36&lt;=E33,-B33*H33*(12*D34*H34^2-3*H34*H33^2+H33^2*C2)/(12*C2^2*10^6)+F35*F36/1000,IF(F36&lt;=E33+H33,-B33*H33*(12*D34*H34^2-3*H34*H33^2+H33^2*C2)/(12*C2^2*10^6)+F35*F36/1000-B33*(F36-E33)^2/(2*10^6),-B33*H33*(12*D34*H34^2-3*H34*H33^2+H33^2*C2)/(12*C2^2*10^6)+F35*F36/1000-B33*H33*(F36-D34)/10^6))</f>
        <v>0</v>
      </c>
      <c r="G37" s="8">
        <f>IF(G36&lt;=E33,-B33*H33*(12*D34*H34^2-3*H34*H33^2+H33^2*C2)/(12*C2^2*10^6)+F35*G36/1000,IF(G36&lt;=E33+H33,-B33*H33*(12*D34*H34^2-3*H34*H33^2+H33^2*C2)/(12*C2^2*10^6)+F35*G36/1000-B33*(G36-E33)^2/(2*10^6),-B33*H33*(12*D34*H34^2-3*H34*H33^2+H33^2*C2)/(12*C2^2*10^6)+F35*G36/1000-B33*H33*(G36-D34)/10^6))</f>
        <v>0</v>
      </c>
      <c r="H37" s="8">
        <f>IF(H36&lt;=E33,-B33*H33*(12*D34*H34^2-3*H34*H33^2+H33^2*C2)/(12*C2^2*10^6)+F35*H36/1000,IF(H36&lt;=E33+H33,-B33*H33*(12*D34*H34^2-3*H34*H33^2+H33^2*C2)/(12*C2^2*10^6)+F35*H36/1000-B33*(H36-E33)^2/(2*10^6),-B33*H33*(12*D34*H34^2-3*H34*H33^2+H33^2*C2)/(12*C2^2*10^6)+F35*H36/1000-B33*H33*(H36-D34)/10^6))</f>
        <v>0</v>
      </c>
      <c r="I37" s="8">
        <f>IF(I36&lt;=E33,-B33*H33*(12*D34*H34^2-3*H34*H33^2+H33^2*C2)/(12*C2^2*10^6)+F35*I36/1000,IF(I36&lt;=E33+H33,-B33*H33*(12*D34*H34^2-3*H34*H33^2+H33^2*C2)/(12*C2^2*10^6)+F35*I36/1000-B33*(I36-E33)^2/(2*10^6),-B33*H33*(12*D34*H34^2-3*H34*H33^2+H33^2*C2)/(12*C2^2*10^6)+F35*I36/1000-B33*H33*(I36-D34)/10^6))</f>
        <v>0</v>
      </c>
      <c r="J37" s="8">
        <f>IF(J36&lt;=E33,-B33*H33*(12*D34*H34^2-3*H34*H33^2+H33^2*C2)/(12*C2^2*10^6)+F35*J36/1000,IF(J36&lt;=E33+H33,-B33*H33*(12*D34*H34^2-3*H34*H33^2+H33^2*C2)/(12*C2^2*10^6)+F35*J36/1000-B33*(J36-E33)^2/(2*10^6),-B33*H33*(12*D34*H34^2-3*H34*H33^2+H33^2*C2)/(12*C2^2*10^6)+F35*J36/1000-B33*H33*(J36-D34)/10^6))</f>
        <v>0</v>
      </c>
      <c r="K37" s="8">
        <f>IF(K36&lt;=E33,-B33*H33*(12*D34*H34^2-3*H34*H33^2+H33^2*C2)/(12*C2^2*10^6)+F35*K36/1000,IF(K36&lt;=E33+H33,-B33*H33*(12*D34*H34^2-3*H34*H33^2+H33^2*C2)/(12*C2^2*10^6)+F35*K36/1000-B33*(K36-E33)^2/(2*10^6),-B33*H33*(12*D34*H34^2-3*H34*H33^2+H33^2*C2)/(12*C2^2*10^6)+F35*K36/1000-B33*H33*(K36-D34)/10^6))</f>
        <v>0</v>
      </c>
      <c r="L37" s="8">
        <f>IF(L36&lt;=E33,-B33*H33*(12*D34*H34^2-3*H34*H33^2+H33^2*C2)/(12*C2^2*10^6)+F35*L36/1000,IF(L36&lt;=E33+H33,-B33*H33*(12*D34*H34^2-3*H34*H33^2+H33^2*C2)/(12*C2^2*10^6)+F35*L36/1000-B33*(L36-E33)^2/(2*10^6),-B33*H33*(12*D34*H34^2-3*H34*H33^2+H33^2*C2)/(12*C2^2*10^6)+F35*L36/1000-B33*H33*(L36-D34)/10^6))</f>
        <v>0</v>
      </c>
      <c r="M37" s="8">
        <f>IF(M36&lt;=E33,-B33*H33*(12*D34*H34^2-3*H34*H33^2+H33^2*C2)/(12*C2^2*10^6)+F35*M36/1000,IF(M36&lt;=E33+H33,-B33*H33*(12*D34*H34^2-3*H34*H33^2+H33^2*C2)/(12*C2^2*10^6)+F35*M36/1000-B33*(M36-E33)^2/(2*10^6),-B33*H33*(12*D34*H34^2-3*H34*H33^2+H33^2*C2)/(12*C2^2*10^6)+F35*M36/1000-B33*H33*(M36-D34)/10^6))</f>
        <v>0</v>
      </c>
    </row>
    <row r="38" ht="15.75" customHeight="1"/>
    <row r="39" spans="1:2" ht="15.75" customHeight="1">
      <c r="A39" s="37" t="s">
        <v>38</v>
      </c>
      <c r="B39" s="37"/>
    </row>
    <row r="40" spans="1:8" ht="15.75" customHeight="1">
      <c r="A40" s="4" t="s">
        <v>39</v>
      </c>
      <c r="B40" s="3">
        <v>0</v>
      </c>
      <c r="C40" s="34" t="s">
        <v>79</v>
      </c>
      <c r="D40" s="34"/>
      <c r="E40" s="3">
        <v>300</v>
      </c>
      <c r="F40" s="34" t="s">
        <v>80</v>
      </c>
      <c r="G40" s="34"/>
      <c r="H40" s="3">
        <v>400</v>
      </c>
    </row>
    <row r="41" spans="1:8" ht="15.75" customHeight="1">
      <c r="A41" s="34" t="s">
        <v>82</v>
      </c>
      <c r="B41" s="34"/>
      <c r="C41" s="34"/>
      <c r="D41" s="3">
        <f>E40+H40/2</f>
        <v>500</v>
      </c>
      <c r="E41" s="34" t="s">
        <v>81</v>
      </c>
      <c r="F41" s="34"/>
      <c r="G41" s="34"/>
      <c r="H41" s="3">
        <f>C2-D41</f>
        <v>500</v>
      </c>
    </row>
    <row r="42" spans="1:11" ht="15.75" customHeight="1">
      <c r="A42" s="38" t="s">
        <v>83</v>
      </c>
      <c r="B42" s="39"/>
      <c r="C42" s="39"/>
      <c r="D42" s="39"/>
      <c r="E42" s="40"/>
      <c r="F42" s="3">
        <f>B40*H40*(12*H41^2*C2-8*H41^3+H40^2*C2-2*H41*H40^2)/(4*C2^3*1000)</f>
        <v>0</v>
      </c>
      <c r="G42" s="38" t="s">
        <v>84</v>
      </c>
      <c r="H42" s="39"/>
      <c r="I42" s="40"/>
      <c r="J42" s="3">
        <f>B40*H40/1000-F42</f>
        <v>0</v>
      </c>
      <c r="K42" s="9"/>
    </row>
    <row r="43" spans="1:13" ht="15.75" customHeight="1">
      <c r="A43" s="34" t="s">
        <v>36</v>
      </c>
      <c r="B43" s="35"/>
      <c r="C43" s="4">
        <v>0</v>
      </c>
      <c r="D43" s="4">
        <f>0.1*C2</f>
        <v>100</v>
      </c>
      <c r="E43" s="4">
        <f>0.2*C2</f>
        <v>200</v>
      </c>
      <c r="F43" s="4">
        <f>0.3*C2</f>
        <v>300</v>
      </c>
      <c r="G43" s="4">
        <f>0.4*C2</f>
        <v>400</v>
      </c>
      <c r="H43" s="4">
        <f>0.5*C2</f>
        <v>500</v>
      </c>
      <c r="I43" s="4">
        <f>0.6*C2</f>
        <v>600</v>
      </c>
      <c r="J43" s="4">
        <f>0.7*C2</f>
        <v>700</v>
      </c>
      <c r="K43" s="4">
        <f>0.8*C2</f>
        <v>800</v>
      </c>
      <c r="L43" s="4">
        <f>0.9*C2</f>
        <v>900</v>
      </c>
      <c r="M43" s="4">
        <f>C2</f>
        <v>1000</v>
      </c>
    </row>
    <row r="44" spans="1:13" ht="15.75" customHeight="1">
      <c r="A44" s="34" t="s">
        <v>77</v>
      </c>
      <c r="B44" s="34"/>
      <c r="C44" s="8">
        <f>IF(C43&lt;=E40,-B40*H40*(12*D41*H41^2-3*H41*H40^2+H40^2*C2)/(12*C2^2*10^6)+F42*C43/1000,IF(C43&lt;=E40+H40,-B40*H40*(12*D41*H41^2-3*H41*H40^2+H40^2*C2)/(12*C2^2*10^6)+F42*C43/1000-B40*(C43-E40)^2/(2*10^6),-B40*H40*(12*D41*H41^2-3*H41*H40^2+H40^2*C2)/(12*C2^2*10^6)+F42*C43/1000-B40*H40*(C43-D41)/10^6))</f>
        <v>0</v>
      </c>
      <c r="D44" s="8">
        <f>IF(D43&lt;=E40,-B40*H40*(12*D41*H41^2-3*H41*H40^2+H40^2*C2)/(12*C2^2*10^6)+F42*D43/1000,IF(D43&lt;=E40+H40,-B40*H40*(12*D41*H41^2-3*H41*H40^2+H40^2*C2)/(12*C2^2*10^6)+F42*D43/1000-B40*(D43-E40)^2/(2*10^6),-B40*H40*(12*D41*H41^2-3*H41*H40^2+H40^2*C2)/(12*C2^2*10^6)+F42*D43/1000-B40*H40*(D43-D41)/10^6))</f>
        <v>0</v>
      </c>
      <c r="E44" s="8">
        <f>IF(E43&lt;=E40,-B40*H40*(12*D41*H41^2-3*H41*H40^2+H40^2*C2)/(12*C2^2*10^6)+F42*E43/1000,IF(E43&lt;=E40+H40,-B40*H40*(12*D41*H41^2-3*H41*H40^2+H40^2*C2)/(12*C2^2*10^6)+F42*E43/1000-B40*(E43-E40)^2/(2*10^6),-B40*H40*(12*D41*H41^2-3*H41*H40^2+H40^2*C2)/(12*C2^2*10^6)+F42*E43/1000-B40*H40*(E43-D41)/10^6))</f>
        <v>0</v>
      </c>
      <c r="F44" s="8">
        <f>IF(F43&lt;=E40,-B40*H40*(12*D41*H41^2-3*H41*H40^2+H40^2*C2)/(12*C2^2*10^6)+F42*F43/1000,IF(F43&lt;=E40+H40,-B40*H40*(12*D41*H41^2-3*H41*H40^2+H40^2*C2)/(12*C2^2*10^6)+F42*F43/1000-B40*(F43-E40)^2/(2*10^6),-B40*H40*(12*D41*H41^2-3*H41*H40^2+H40^2*C2)/(12*C2^2*10^6)+F42*F43/1000-B40*H40*(F43-D41)/10^6))</f>
        <v>0</v>
      </c>
      <c r="G44" s="8">
        <f>IF(G43&lt;=E40,-B40*H40*(12*D41*H41^2-3*H41*H40^2+H40^2*C2)/(12*C2^2*10^6)+F42*G43/1000,IF(G43&lt;=E40+H40,-B40*H40*(12*D41*H41^2-3*H41*H40^2+H40^2*C2)/(12*C2^2*10^6)+F42*G43/1000-B40*(G43-E40)^2/(2*10^6),-B40*H40*(12*D41*H41^2-3*H41*H40^2+H40^2*C2)/(12*C2^2*10^6)+F42*G43/1000-B40*H40*(G43-D41)/10^6))</f>
        <v>0</v>
      </c>
      <c r="H44" s="8">
        <f>IF(H43&lt;=E40,-B40*H40*(12*D41*H41^2-3*H41*H40^2+H40^2*C2)/(12*C2^2*10^6)+F42*H43/1000,IF(H43&lt;=E40+H40,-B40*H40*(12*D41*H41^2-3*H41*H40^2+H40^2*C2)/(12*C2^2*10^6)+F42*H43/1000-B40*(H43-E40)^2/(2*10^6),-B40*H40*(12*D41*H41^2-3*H41*H40^2+H40^2*C2)/(12*C2^2*10^6)+F42*H43/1000-B40*H40*(H43-D41)/10^6))</f>
        <v>0</v>
      </c>
      <c r="I44" s="8">
        <f>IF(I43&lt;=E40,-B40*H40*(12*D41*H41^2-3*H41*H40^2+H40^2*C2)/(12*C2^2*10^6)+F42*I43/1000,IF(I43&lt;=E40+H40,-B40*H40*(12*D41*H41^2-3*H41*H40^2+H40^2*C2)/(12*C2^2*10^6)+F42*I43/1000-B40*(I43-E40)^2/(2*10^6),-B40*H40*(12*D41*H41^2-3*H41*H40^2+H40^2*C2)/(12*C2^2*10^6)+F42*I43/1000-B40*H40*(I43-D41)/10^6))</f>
        <v>0</v>
      </c>
      <c r="J44" s="8">
        <f>IF(J43&lt;=E40,-B40*H40*(12*D41*H41^2-3*H41*H40^2+H40^2*C2)/(12*C2^2*10^6)+F42*J43/1000,IF(J43&lt;=E40+H40,-B40*H40*(12*D41*H41^2-3*H41*H40^2+H40^2*C2)/(12*C2^2*10^6)+F42*J43/1000-B40*(J43-E40)^2/(2*10^6),-B40*H40*(12*D41*H41^2-3*H41*H40^2+H40^2*C2)/(12*C2^2*10^6)+F42*J43/1000-B40*H40*(J43-D41)/10^6))</f>
        <v>0</v>
      </c>
      <c r="K44" s="8">
        <f>IF(K43&lt;=E40,-B40*H40*(12*D41*H41^2-3*H41*H40^2+H40^2*C2)/(12*C2^2*10^6)+F42*K43/1000,IF(K43&lt;=E40+H40,-B40*H40*(12*D41*H41^2-3*H41*H40^2+H40^2*C2)/(12*C2^2*10^6)+F42*K43/1000-B40*(K43-E40)^2/(2*10^6),-B40*H40*(12*D41*H41^2-3*H41*H40^2+H40^2*C2)/(12*C2^2*10^6)+F42*K43/1000-B40*H40*(K43-D41)/10^6))</f>
        <v>0</v>
      </c>
      <c r="L44" s="8">
        <f>IF(L43&lt;=E40,-B40*H40*(12*D41*H41^2-3*H41*H40^2+H40^2*C2)/(12*C2^2*10^6)+F42*L43/1000,IF(L43&lt;=E40+H40,-B40*H40*(12*D41*H41^2-3*H41*H40^2+H40^2*C2)/(12*C2^2*10^6)+F42*L43/1000-B40*(L43-E40)^2/(2*10^6),-B40*H40*(12*D41*H41^2-3*H41*H40^2+H40^2*C2)/(12*C2^2*10^6)+F42*L43/1000-B40*H40*(L43-D41)/10^6))</f>
        <v>0</v>
      </c>
      <c r="M44" s="8">
        <f>IF(M43&lt;=E40,-B40*H40*(12*D41*H41^2-3*H41*H40^2+H40^2*C2)/(12*C2^2*10^6)+F42*M43/1000,IF(M43&lt;=E40+H40,-B40*H40*(12*D41*H41^2-3*H41*H40^2+H40^2*C2)/(12*C2^2*10^6)+F42*M43/1000-B40*(M43-E40)^2/(2*10^6),-B40*H40*(12*D41*H41^2-3*H41*H40^2+H40^2*C2)/(12*C2^2*10^6)+F42*M43/1000-B40*H40*(M43-D41)/10^6))</f>
        <v>0</v>
      </c>
    </row>
    <row r="45" ht="15.75" customHeight="1"/>
    <row r="46" spans="1:13" ht="15.75" customHeight="1">
      <c r="A46" s="34" t="s">
        <v>85</v>
      </c>
      <c r="B46" s="34"/>
      <c r="C46" s="8">
        <f aca="true" t="shared" si="0" ref="C46:M46">C9+C16+C23+C30+C37+C44</f>
        <v>-125.47333333333333</v>
      </c>
      <c r="D46" s="8">
        <f t="shared" si="0"/>
        <v>-75.27333333333333</v>
      </c>
      <c r="E46" s="8">
        <f t="shared" si="0"/>
        <v>-25.073333333333334</v>
      </c>
      <c r="F46" s="8">
        <f t="shared" si="0"/>
        <v>25.126666666666665</v>
      </c>
      <c r="G46" s="8">
        <f t="shared" si="0"/>
        <v>75.27666666666667</v>
      </c>
      <c r="H46" s="8">
        <f t="shared" si="0"/>
        <v>125.32666666666667</v>
      </c>
      <c r="I46" s="8">
        <f t="shared" si="0"/>
        <v>75.27666666666667</v>
      </c>
      <c r="J46" s="8">
        <f t="shared" si="0"/>
        <v>25.126666666666665</v>
      </c>
      <c r="K46" s="8">
        <f t="shared" si="0"/>
        <v>-25.073333333333334</v>
      </c>
      <c r="L46" s="8">
        <f t="shared" si="0"/>
        <v>-75.27333333333334</v>
      </c>
      <c r="M46" s="8">
        <f t="shared" si="0"/>
        <v>-125.47333333333333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mergeCells count="57">
    <mergeCell ref="G42:I42"/>
    <mergeCell ref="A43:B43"/>
    <mergeCell ref="A44:B44"/>
    <mergeCell ref="C40:D40"/>
    <mergeCell ref="F40:G40"/>
    <mergeCell ref="A41:C41"/>
    <mergeCell ref="E41:G41"/>
    <mergeCell ref="A22:B22"/>
    <mergeCell ref="A25:B25"/>
    <mergeCell ref="C33:D33"/>
    <mergeCell ref="F33:G33"/>
    <mergeCell ref="A23:B23"/>
    <mergeCell ref="A28:E28"/>
    <mergeCell ref="G28:I28"/>
    <mergeCell ref="C26:D26"/>
    <mergeCell ref="F26:G26"/>
    <mergeCell ref="A27:C27"/>
    <mergeCell ref="A35:E35"/>
    <mergeCell ref="G35:I35"/>
    <mergeCell ref="A32:B32"/>
    <mergeCell ref="A29:B29"/>
    <mergeCell ref="A30:B30"/>
    <mergeCell ref="A34:C34"/>
    <mergeCell ref="E34:G34"/>
    <mergeCell ref="A46:B46"/>
    <mergeCell ref="A39:B39"/>
    <mergeCell ref="A36:B36"/>
    <mergeCell ref="A37:B37"/>
    <mergeCell ref="A42:E42"/>
    <mergeCell ref="C19:D19"/>
    <mergeCell ref="A21:C21"/>
    <mergeCell ref="F19:G19"/>
    <mergeCell ref="A20:C20"/>
    <mergeCell ref="E20:G20"/>
    <mergeCell ref="E21:G21"/>
    <mergeCell ref="E27:G27"/>
    <mergeCell ref="A18:B18"/>
    <mergeCell ref="C12:D12"/>
    <mergeCell ref="F12:G12"/>
    <mergeCell ref="A13:C13"/>
    <mergeCell ref="E13:G13"/>
    <mergeCell ref="A14:C14"/>
    <mergeCell ref="E14:G14"/>
    <mergeCell ref="A15:B15"/>
    <mergeCell ref="A16:B16"/>
    <mergeCell ref="A11:B11"/>
    <mergeCell ref="A1:B1"/>
    <mergeCell ref="A4:B4"/>
    <mergeCell ref="C5:D5"/>
    <mergeCell ref="A2:B2"/>
    <mergeCell ref="F5:G5"/>
    <mergeCell ref="A8:B8"/>
    <mergeCell ref="A9:B9"/>
    <mergeCell ref="A7:C7"/>
    <mergeCell ref="E7:G7"/>
    <mergeCell ref="A6:C6"/>
    <mergeCell ref="E6:G6"/>
  </mergeCells>
  <dataValidations count="11">
    <dataValidation type="decimal" operator="lessThanOrEqual" showInputMessage="1" showErrorMessage="1" error="a&gt;l，错误！请重新输入。" sqref="E5">
      <formula1>C2</formula1>
    </dataValidation>
    <dataValidation type="decimal" operator="lessThan" showInputMessage="1" showErrorMessage="1" error="a&gt;l，错误！请重新输入。" sqref="E26">
      <formula1>C2</formula1>
    </dataValidation>
    <dataValidation type="decimal" operator="lessThanOrEqual" showInputMessage="1" showErrorMessage="1" error="a&gt;l，错误！请重新输入。" sqref="H33">
      <formula1>C2</formula1>
    </dataValidation>
    <dataValidation operator="lessThan" showInputMessage="1" showErrorMessage="1" sqref="D27 D34 D41"/>
    <dataValidation operator="lessThanOrEqual" showInputMessage="1" showErrorMessage="1" sqref="E6:G6 E13:G13 E20:G20"/>
    <dataValidation type="decimal" operator="lessThanOrEqual" showInputMessage="1" showErrorMessage="1" error="a&gt;l，错误！请重新输入。" sqref="H26">
      <formula1>C2</formula1>
    </dataValidation>
    <dataValidation type="decimal" operator="lessThanOrEqual" showInputMessage="1" showErrorMessage="1" error="a&gt;l，错误！请重新输入。" sqref="H40">
      <formula1>C2</formula1>
    </dataValidation>
    <dataValidation type="decimal" operator="lessThan" showInputMessage="1" showErrorMessage="1" error="a&gt;l，错误！请重新输入。" sqref="E33">
      <formula1>C2</formula1>
    </dataValidation>
    <dataValidation type="decimal" operator="lessThan" showInputMessage="1" showErrorMessage="1" error="a&gt;l，错误！请重新输入。" sqref="E40">
      <formula1>C2</formula1>
    </dataValidation>
    <dataValidation type="decimal" operator="lessThanOrEqual" showInputMessage="1" showErrorMessage="1" error="a&gt;l，错误！请重新输入。" sqref="E12">
      <formula1>C2</formula1>
    </dataValidation>
    <dataValidation type="decimal" operator="lessThanOrEqual" showInputMessage="1" showErrorMessage="1" error="a&gt;l，错误！请重新输入。" sqref="E19">
      <formula1>C2</formula1>
    </dataValidation>
  </dataValidation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20" sqref="B20"/>
    </sheetView>
  </sheetViews>
  <sheetFormatPr defaultColWidth="9.00390625" defaultRowHeight="14.25"/>
  <cols>
    <col min="1" max="1" width="30.625" style="1" customWidth="1"/>
    <col min="2" max="2" width="9.625" style="1" customWidth="1"/>
    <col min="3" max="3" width="30.625" style="1" customWidth="1"/>
    <col min="4" max="4" width="9.625" style="1" customWidth="1"/>
  </cols>
  <sheetData>
    <row r="1" ht="15.75" customHeight="1">
      <c r="A1" s="11" t="s">
        <v>50</v>
      </c>
    </row>
    <row r="2" spans="1:4" ht="15.75" customHeight="1">
      <c r="A2" s="3" t="s">
        <v>57</v>
      </c>
      <c r="B2" s="13">
        <v>250</v>
      </c>
      <c r="C2" s="3" t="s">
        <v>48</v>
      </c>
      <c r="D2" s="14" t="s">
        <v>49</v>
      </c>
    </row>
    <row r="3" spans="1:4" ht="15.75" customHeight="1">
      <c r="A3" s="3" t="s">
        <v>58</v>
      </c>
      <c r="B3" s="13">
        <v>600</v>
      </c>
      <c r="C3" s="3" t="s">
        <v>59</v>
      </c>
      <c r="D3" s="14">
        <v>360</v>
      </c>
    </row>
    <row r="4" spans="1:4" ht="15.75" customHeight="1">
      <c r="A4" s="3" t="s">
        <v>93</v>
      </c>
      <c r="B4" s="24">
        <v>2.1</v>
      </c>
      <c r="C4" s="10" t="s">
        <v>60</v>
      </c>
      <c r="D4" s="14">
        <v>210</v>
      </c>
    </row>
    <row r="5" spans="1:5" ht="15.75" customHeight="1">
      <c r="A5" s="3" t="s">
        <v>94</v>
      </c>
      <c r="B5" s="24">
        <v>0.7</v>
      </c>
      <c r="C5" s="3" t="s">
        <v>95</v>
      </c>
      <c r="D5" s="25">
        <v>200000</v>
      </c>
      <c r="E5" s="9"/>
    </row>
    <row r="6" spans="3:4" ht="15.75" customHeight="1">
      <c r="C6" s="21"/>
      <c r="D6" s="22"/>
    </row>
    <row r="7" ht="15.75" customHeight="1">
      <c r="A7" s="11" t="s">
        <v>51</v>
      </c>
    </row>
    <row r="8" spans="1:5" ht="15.75" customHeight="1">
      <c r="A8" s="3" t="s">
        <v>62</v>
      </c>
      <c r="B8" s="12">
        <f>IF(D2="C40",19.1,IF(D2="C35",16.7,IF(D2="C30",14.3,IF(D2="C25",11.9,IF(D2="C20",9.6,IF(D2="C15",7.2,0))))))</f>
        <v>14.3</v>
      </c>
      <c r="C8" s="3" t="s">
        <v>96</v>
      </c>
      <c r="D8" s="26">
        <f>IF(D2="C40",2.39,IF(D2="C35",2.2,IF(D2="C30",2.01,IF(D2="C25",1.78,IF(D2="C20",1.54,IF(D2="C15",1.27,0))))))</f>
        <v>2.01</v>
      </c>
      <c r="E8" s="21"/>
    </row>
    <row r="9" spans="1:4" ht="15.75" customHeight="1">
      <c r="A9" s="3" t="s">
        <v>101</v>
      </c>
      <c r="B9" s="8">
        <f>IF(D2="C80",0.94,IF(D2="C75",0.95,IF(D2="C70",0.96,IF(D2="C65",0.97,IF(D2="C60",0.98,IF(D2="C15",0.99,1))))))</f>
        <v>1</v>
      </c>
      <c r="C9" s="3" t="s">
        <v>61</v>
      </c>
      <c r="D9" s="3">
        <f>B3-35</f>
        <v>565</v>
      </c>
    </row>
    <row r="10" ht="15.75" customHeight="1"/>
    <row r="11" ht="15.75" customHeight="1"/>
    <row r="12" ht="15.75" customHeight="1">
      <c r="A12" s="11" t="s">
        <v>52</v>
      </c>
    </row>
    <row r="13" spans="1:4" ht="15.75" customHeight="1">
      <c r="A13" s="3" t="s">
        <v>63</v>
      </c>
      <c r="B13" s="17">
        <v>510</v>
      </c>
      <c r="C13" s="3" t="s">
        <v>70</v>
      </c>
      <c r="D13" s="23">
        <v>238</v>
      </c>
    </row>
    <row r="14" spans="1:4" ht="15.75" customHeight="1">
      <c r="A14" s="3" t="s">
        <v>102</v>
      </c>
      <c r="B14" s="15">
        <f>B13*10^6/(B9*B8*B2*D9^2)</f>
        <v>0.44688649904406813</v>
      </c>
      <c r="C14" s="3" t="s">
        <v>54</v>
      </c>
      <c r="D14" s="13">
        <v>2</v>
      </c>
    </row>
    <row r="15" spans="1:4" ht="15.75" customHeight="1">
      <c r="A15" s="3" t="s">
        <v>53</v>
      </c>
      <c r="B15" s="15">
        <f>(1+SQRT(1-2*B14))/2</f>
        <v>0.6629624204470648</v>
      </c>
      <c r="C15" s="3" t="s">
        <v>69</v>
      </c>
      <c r="D15" s="13">
        <v>10</v>
      </c>
    </row>
    <row r="16" spans="1:4" ht="15.75" customHeight="1">
      <c r="A16" s="3" t="s">
        <v>64</v>
      </c>
      <c r="B16" s="16">
        <f>B13*10^6/(B15*D3*D9)</f>
        <v>3782.07656110825</v>
      </c>
      <c r="C16" s="3" t="s">
        <v>68</v>
      </c>
      <c r="D16" s="13">
        <v>150</v>
      </c>
    </row>
    <row r="17" spans="1:4" ht="15.75" customHeight="1">
      <c r="A17" s="3" t="s">
        <v>65</v>
      </c>
      <c r="B17" s="13">
        <v>25</v>
      </c>
      <c r="C17" s="3" t="s">
        <v>67</v>
      </c>
      <c r="D17" s="19">
        <f>(0.07*B8*B2*D9+1.5*D4*D14*PI()*(D15/2)^2*D9/D16)/1000</f>
        <v>327.76623417421456</v>
      </c>
    </row>
    <row r="18" spans="1:4" ht="15.75" customHeight="1">
      <c r="A18" s="3" t="s">
        <v>86</v>
      </c>
      <c r="B18" s="13">
        <v>8</v>
      </c>
      <c r="C18" s="3" t="s">
        <v>55</v>
      </c>
      <c r="D18" s="20" t="str">
        <f>IF(D13&gt;D17,"不满足","满足")</f>
        <v>满足</v>
      </c>
    </row>
    <row r="19" spans="1:4" ht="15.75" customHeight="1">
      <c r="A19" s="3" t="s">
        <v>66</v>
      </c>
      <c r="B19" s="18">
        <f>PI()*(B17/2)^2*B18</f>
        <v>3926.9908169872415</v>
      </c>
      <c r="C19" s="3" t="s">
        <v>56</v>
      </c>
      <c r="D19" s="20" t="str">
        <f>IF(B16&gt;B19,"不满足","满足")</f>
        <v>满足</v>
      </c>
    </row>
    <row r="20" ht="15.75" customHeight="1"/>
    <row r="21" ht="15.75" customHeight="1">
      <c r="A21" s="11" t="s">
        <v>87</v>
      </c>
    </row>
    <row r="22" spans="1:7" ht="15.75" customHeight="1">
      <c r="A22" s="3" t="s">
        <v>88</v>
      </c>
      <c r="B22" s="17">
        <f>B13/1.25</f>
        <v>408</v>
      </c>
      <c r="C22" s="3" t="s">
        <v>89</v>
      </c>
      <c r="D22" s="15">
        <f>B19/(0.5*B2*B3)</f>
        <v>0.05235987755982989</v>
      </c>
      <c r="E22" s="21"/>
      <c r="F22" s="30"/>
      <c r="G22" s="30"/>
    </row>
    <row r="23" spans="1:7" ht="15.75" customHeight="1">
      <c r="A23" s="3" t="s">
        <v>92</v>
      </c>
      <c r="B23" s="8">
        <f>B22*10^6/(0.87*D9*B19)</f>
        <v>211.36475811288634</v>
      </c>
      <c r="C23" s="3" t="s">
        <v>97</v>
      </c>
      <c r="D23" s="15">
        <f>IF(D22&lt;0.01,0.01,D22)</f>
        <v>0.05235987755982989</v>
      </c>
      <c r="E23" s="21"/>
      <c r="F23" s="30"/>
      <c r="G23" s="30"/>
    </row>
    <row r="24" spans="1:7" ht="15.75" customHeight="1">
      <c r="A24" s="3" t="s">
        <v>90</v>
      </c>
      <c r="B24" s="29">
        <f>1.1-0.65*D8/(D23*B23)</f>
        <v>0.981946677389706</v>
      </c>
      <c r="C24" s="27" t="s">
        <v>98</v>
      </c>
      <c r="D24" s="29">
        <f>IF(B24&gt;1,1,IF(B24&lt;0.2,0.2,B24))</f>
        <v>0.981946677389706</v>
      </c>
      <c r="E24" s="21"/>
      <c r="F24" s="30"/>
      <c r="G24" s="30"/>
    </row>
    <row r="25" spans="1:7" ht="15.75" customHeight="1">
      <c r="A25" s="26" t="s">
        <v>91</v>
      </c>
      <c r="B25" s="33">
        <f>B17/B5</f>
        <v>35.714285714285715</v>
      </c>
      <c r="C25" s="32" t="s">
        <v>99</v>
      </c>
      <c r="D25" s="13">
        <v>20</v>
      </c>
      <c r="E25" s="31"/>
      <c r="F25" s="30"/>
      <c r="G25" s="30"/>
    </row>
    <row r="26" spans="1:7" ht="15.75" customHeight="1">
      <c r="A26" s="34" t="s">
        <v>100</v>
      </c>
      <c r="B26" s="34"/>
      <c r="C26" s="34"/>
      <c r="D26" s="19">
        <f>B4*D24*B23*(1.9*MIN(MAX(20,D25),65)+0.08*B25/D23)/D5</f>
        <v>0.20172879255663476</v>
      </c>
      <c r="E26" s="21"/>
      <c r="F26" s="21"/>
      <c r="G26" s="21"/>
    </row>
    <row r="27" spans="1:7" ht="15.75" customHeight="1">
      <c r="A27" s="3" t="s">
        <v>103</v>
      </c>
      <c r="B27" s="17">
        <v>0.3</v>
      </c>
      <c r="C27" s="3" t="s">
        <v>104</v>
      </c>
      <c r="D27" s="28" t="str">
        <f>IF(D26&gt;B27,"不满足","满足")</f>
        <v>满足</v>
      </c>
      <c r="E27" s="21"/>
      <c r="F27" s="30"/>
      <c r="G27" s="30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mergeCells count="1">
    <mergeCell ref="A26:C26"/>
  </mergeCells>
  <conditionalFormatting sqref="B19">
    <cfRule type="cellIs" priority="1" dxfId="0" operator="lessThan" stopIfTrue="1">
      <formula>$C$29</formula>
    </cfRule>
  </conditionalFormatting>
  <dataValidations count="15">
    <dataValidation type="list" showInputMessage="1" showErrorMessage="1" error="输入值超界[C15,C40]！请重新输入。" sqref="D2">
      <formula1>"C15,C20,C25,C30,C35,C40,C45,C50,C55,C60,C65,C70,C75,C80"</formula1>
    </dataValidation>
    <dataValidation type="list" operator="greaterThan" showInputMessage="1" showErrorMessage="1" error="输入值错误！请重新输入。" sqref="D3">
      <formula1>"210,300,360"</formula1>
    </dataValidation>
    <dataValidation type="list" operator="greaterThanOrEqual" showInputMessage="1" showErrorMessage="1" error="输入值错误！请重新输入。" sqref="B17">
      <formula1>"10,12,14,16,18,20,22,25"</formula1>
    </dataValidation>
    <dataValidation operator="greaterThanOrEqual" allowBlank="1" showInputMessage="1" showErrorMessage="1" sqref="B19"/>
    <dataValidation type="whole" operator="greaterThanOrEqual" showInputMessage="1" showErrorMessage="1" error="输入值错误！请重新输入。" sqref="B18">
      <formula1>0</formula1>
    </dataValidation>
    <dataValidation type="whole" operator="greaterThanOrEqual" showInputMessage="1" showErrorMessage="1" error="输入值错误！请重新输入。" sqref="D14">
      <formula1>0</formula1>
    </dataValidation>
    <dataValidation type="list" showInputMessage="1" showErrorMessage="1" error="输入值错误！请重新输入。" sqref="D15">
      <formula1>"6,8,10,12"</formula1>
    </dataValidation>
    <dataValidation type="list" showInputMessage="1" showErrorMessage="1" error="输入值超界[100,300]！请重新输入。" sqref="D16">
      <formula1>"100,110,120,125,130,140,150,160,170,175,180,190,200,220,240,250,260,280,300"</formula1>
    </dataValidation>
    <dataValidation type="list" operator="greaterThan" showInputMessage="1" showErrorMessage="1" error="输入值错误！请重新输入。" sqref="D4">
      <formula1>"210"</formula1>
    </dataValidation>
    <dataValidation operator="greaterThan" showInputMessage="1" showErrorMessage="1" error="输入值错误！请重新输入。" sqref="D6"/>
    <dataValidation type="list" showInputMessage="1" showErrorMessage="1" error="输入值超界[C15,C40]！请重新输入。" sqref="B4">
      <formula1>"2.1,2.4,2.7"</formula1>
    </dataValidation>
    <dataValidation type="list" operator="greaterThan" showInputMessage="1" showErrorMessage="1" error="输入值错误！请重新输入。" sqref="B5">
      <formula1>"0.7,1.0"</formula1>
    </dataValidation>
    <dataValidation type="list" operator="greaterThan" showInputMessage="1" showErrorMessage="1" error="输入值错误！请重新输入。" sqref="D5">
      <formula1>"200000,210000"</formula1>
    </dataValidation>
    <dataValidation type="list" showInputMessage="1" showErrorMessage="1" sqref="B27">
      <formula1>"0.2,0.3,0.4"</formula1>
    </dataValidation>
    <dataValidation type="decimal" operator="greaterThanOrEqual" showInputMessage="1" showErrorMessage="1" error="输入值&lt;20，取20输入。" sqref="D25">
      <formula1>20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ZWX</dc:creator>
  <cp:keywords/>
  <dc:description/>
  <cp:lastModifiedBy>ZWX</cp:lastModifiedBy>
  <cp:lastPrinted>2001-11-28T02:01:41Z</cp:lastPrinted>
  <dcterms:created xsi:type="dcterms:W3CDTF">2001-11-27T00:20:08Z</dcterms:created>
  <dcterms:modified xsi:type="dcterms:W3CDTF">2002-07-05T09:23:41Z</dcterms:modified>
  <cp:category/>
  <cp:version/>
  <cp:contentType/>
  <cp:contentStatus/>
</cp:coreProperties>
</file>