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tabRatio="868" activeTab="5"/>
  </bookViews>
  <sheets>
    <sheet name="給排水估算" sheetId="1" r:id="rId1"/>
    <sheet name="1号排出口流量" sheetId="2" r:id="rId2"/>
    <sheet name="2号排出口流量" sheetId="3" r:id="rId3"/>
    <sheet name="分散化糞池" sheetId="4" r:id="rId4"/>
    <sheet name="共用化糞池" sheetId="5" r:id="rId5"/>
    <sheet name="屋面雨水" sheetId="6" r:id="rId6"/>
    <sheet name="室外雨水" sheetId="7" r:id="rId7"/>
    <sheet name="排水橫管排水能力" sheetId="8" r:id="rId8"/>
    <sheet name="給水立管" sheetId="9" r:id="rId9"/>
    <sheet name="住宅入户管管径" sheetId="10" r:id="rId10"/>
    <sheet name="水头损失" sheetId="11" r:id="rId11"/>
    <sheet name="住宅即热式热水器及管径 " sheetId="12" r:id="rId12"/>
    <sheet name="變頻泵" sheetId="13" r:id="rId13"/>
    <sheet name="水泵特性" sheetId="14" r:id="rId14"/>
    <sheet name="气压罐" sheetId="15" r:id="rId15"/>
    <sheet name="减压阀" sheetId="16" r:id="rId16"/>
    <sheet name="工頻水泵" sheetId="17" r:id="rId17"/>
  </sheets>
  <definedNames>
    <definedName name="_xlnm.Print_Titles" localSheetId="8">'給水立管'!$A:$J,'給水立管'!$1:$4</definedName>
  </definedNames>
  <calcPr fullCalcOnLoad="1"/>
</workbook>
</file>

<file path=xl/sharedStrings.xml><?xml version="1.0" encoding="utf-8"?>
<sst xmlns="http://schemas.openxmlformats.org/spreadsheetml/2006/main" count="983" uniqueCount="670">
  <si>
    <t>(h)</t>
  </si>
  <si>
    <t>系數</t>
  </si>
  <si>
    <t>(h)</t>
  </si>
  <si>
    <t>最大用水時</t>
  </si>
  <si>
    <t>設計</t>
  </si>
  <si>
    <t>管徑</t>
  </si>
  <si>
    <t>總數</t>
  </si>
  <si>
    <t>對應系數</t>
  </si>
  <si>
    <t>秒流量</t>
  </si>
  <si>
    <t>(m)</t>
  </si>
  <si>
    <t>(L/s)</t>
  </si>
  <si>
    <t>(mm)</t>
  </si>
  <si>
    <t>(m/s)</t>
  </si>
  <si>
    <t>變化</t>
  </si>
  <si>
    <t>流速</t>
  </si>
  <si>
    <t>出流概率</t>
  </si>
  <si>
    <t>平均</t>
  </si>
  <si>
    <t>出流概率</t>
  </si>
  <si>
    <t>同時</t>
  </si>
  <si>
    <t>計算管段</t>
  </si>
  <si>
    <t>管長</t>
  </si>
  <si>
    <t>最高日</t>
  </si>
  <si>
    <t>流速</t>
  </si>
  <si>
    <t>管徑</t>
  </si>
  <si>
    <t>水泵計算</t>
  </si>
  <si>
    <t>備注</t>
  </si>
  <si>
    <t>(m)</t>
  </si>
  <si>
    <t>(m)</t>
  </si>
  <si>
    <t>(m/s)</t>
  </si>
  <si>
    <t>(mm)</t>
  </si>
  <si>
    <t>(m)</t>
  </si>
  <si>
    <t>供水范圍</t>
  </si>
  <si>
    <r>
      <t>范圍</t>
    </r>
    <r>
      <rPr>
        <sz val="10"/>
        <rFont val="Times New Roman"/>
        <family val="1"/>
      </rPr>
      <t>1</t>
    </r>
  </si>
  <si>
    <r>
      <t>范圍</t>
    </r>
    <r>
      <rPr>
        <sz val="10"/>
        <rFont val="Times New Roman"/>
        <family val="1"/>
      </rPr>
      <t>2</t>
    </r>
  </si>
  <si>
    <r>
      <t>范圍</t>
    </r>
    <r>
      <rPr>
        <sz val="10"/>
        <rFont val="Times New Roman"/>
        <family val="1"/>
      </rPr>
      <t>3</t>
    </r>
  </si>
  <si>
    <t>水泵計算表</t>
  </si>
  <si>
    <t>水頭損失</t>
  </si>
  <si>
    <t>單位長度</t>
  </si>
  <si>
    <t>(m)</t>
  </si>
  <si>
    <t>供水</t>
  </si>
  <si>
    <t>管長</t>
  </si>
  <si>
    <t>總水頭</t>
  </si>
  <si>
    <t>損失</t>
  </si>
  <si>
    <t>水泵供水</t>
  </si>
  <si>
    <t>垂直高差</t>
  </si>
  <si>
    <t>出水</t>
  </si>
  <si>
    <t>水頭</t>
  </si>
  <si>
    <t>揚程</t>
  </si>
  <si>
    <t>供水</t>
  </si>
  <si>
    <t>單位長度</t>
  </si>
  <si>
    <t>總水頭</t>
  </si>
  <si>
    <t>水頭損失</t>
  </si>
  <si>
    <t>損失</t>
  </si>
  <si>
    <t>人數</t>
  </si>
  <si>
    <t>系數</t>
  </si>
  <si>
    <t>(h)</t>
  </si>
  <si>
    <t>時間</t>
  </si>
  <si>
    <t>(mm)</t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</si>
  <si>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/h)</t>
    </r>
  </si>
  <si>
    <t>最高日</t>
  </si>
  <si>
    <t>小時</t>
  </si>
  <si>
    <t>用水</t>
  </si>
  <si>
    <t>用水定額</t>
  </si>
  <si>
    <t>給水當量</t>
  </si>
  <si>
    <t>(L/人.d)</t>
  </si>
  <si>
    <t>(人)</t>
  </si>
  <si>
    <t>衛生器具</t>
  </si>
  <si>
    <t>最高日</t>
  </si>
  <si>
    <t>用水人數</t>
  </si>
  <si>
    <t>小時</t>
  </si>
  <si>
    <t>計算管段</t>
  </si>
  <si>
    <t>用水</t>
  </si>
  <si>
    <t>最大用水時</t>
  </si>
  <si>
    <t>平均</t>
  </si>
  <si>
    <t>洗臉盆</t>
  </si>
  <si>
    <t>浴盆</t>
  </si>
  <si>
    <t>洗滌盆</t>
  </si>
  <si>
    <t>淋浴器</t>
  </si>
  <si>
    <t>大便器</t>
  </si>
  <si>
    <t>用水定額</t>
  </si>
  <si>
    <t>變化</t>
  </si>
  <si>
    <t>給水當量</t>
  </si>
  <si>
    <t>時間</t>
  </si>
  <si>
    <t>出流概率</t>
  </si>
  <si>
    <t>同時</t>
  </si>
  <si>
    <t>秒流量</t>
  </si>
  <si>
    <t>數量</t>
  </si>
  <si>
    <t>當量</t>
  </si>
  <si>
    <t>(L/人.d)</t>
  </si>
  <si>
    <t>(人)</t>
  </si>
  <si>
    <t>總數</t>
  </si>
  <si>
    <t>對應系數</t>
  </si>
  <si>
    <t>(L/s)</t>
  </si>
  <si>
    <t>(mm)</t>
  </si>
  <si>
    <t>(m/s)</t>
  </si>
  <si>
    <t>（次）</t>
  </si>
  <si>
    <t>安全</t>
  </si>
  <si>
    <t>罐内工作</t>
  </si>
  <si>
    <t>容积</t>
  </si>
  <si>
    <t>(Mpa)</t>
  </si>
  <si>
    <t>压力比</t>
  </si>
  <si>
    <t>系数</t>
  </si>
  <si>
    <t>(m)</t>
  </si>
  <si>
    <r>
      <t>十六</t>
    </r>
    <r>
      <rPr>
        <sz val="10"/>
        <rFont val="Times New Roman"/>
        <family val="1"/>
      </rPr>
      <t>~</t>
    </r>
    <r>
      <rPr>
        <sz val="10"/>
        <rFont val="新細明體"/>
        <family val="1"/>
      </rPr>
      <t>二十层</t>
    </r>
  </si>
  <si>
    <r>
      <t>八</t>
    </r>
    <r>
      <rPr>
        <sz val="10"/>
        <rFont val="Times New Roman"/>
        <family val="1"/>
      </rPr>
      <t>~</t>
    </r>
    <r>
      <rPr>
        <sz val="10"/>
        <rFont val="新細明體"/>
        <family val="1"/>
      </rPr>
      <t>十五层</t>
    </r>
  </si>
  <si>
    <r>
      <t>一</t>
    </r>
    <r>
      <rPr>
        <sz val="10"/>
        <rFont val="Times New Roman"/>
        <family val="1"/>
      </rPr>
      <t>~</t>
    </r>
    <r>
      <rPr>
        <sz val="10"/>
        <rFont val="新細明體"/>
        <family val="1"/>
      </rPr>
      <t>七层</t>
    </r>
  </si>
  <si>
    <t>最不利点</t>
  </si>
  <si>
    <t>出水</t>
  </si>
  <si>
    <t>垂直高差</t>
  </si>
  <si>
    <t>水頭</t>
  </si>
  <si>
    <t>揚程</t>
  </si>
  <si>
    <t>(kw)</t>
  </si>
  <si>
    <t>流量</t>
  </si>
  <si>
    <t>(L/s)</t>
  </si>
  <si>
    <t>水泵特性</t>
  </si>
  <si>
    <t>水泵編號</t>
  </si>
  <si>
    <t>參考型號</t>
  </si>
  <si>
    <t>功率</t>
  </si>
  <si>
    <t>水泵寬</t>
  </si>
  <si>
    <t>基礎寬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</si>
  <si>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</si>
  <si>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</si>
  <si>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</si>
  <si>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</si>
  <si>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</si>
  <si>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</si>
  <si>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</si>
  <si>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</si>
  <si>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</si>
  <si>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</si>
  <si>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</si>
  <si>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住宅类型</t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</si>
  <si>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卫（单元）</t>
    </r>
  </si>
  <si>
    <t>住宅入户給水管管径計算表</t>
  </si>
  <si>
    <t>洗衣机</t>
  </si>
  <si>
    <t>浇花龙头</t>
  </si>
  <si>
    <t>流量</t>
  </si>
  <si>
    <r>
      <t>E</t>
    </r>
    <r>
      <rPr>
        <u val="single"/>
        <sz val="14"/>
        <rFont val="新細明體"/>
        <family val="1"/>
      </rPr>
      <t>区别墅生活立式给水泵特性表</t>
    </r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</si>
  <si>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/h)</t>
    </r>
  </si>
  <si>
    <r>
      <t>E</t>
    </r>
    <r>
      <rPr>
        <sz val="10"/>
        <rFont val="宋体"/>
        <family val="0"/>
      </rPr>
      <t>区别墅</t>
    </r>
  </si>
  <si>
    <t>PU-1</t>
  </si>
  <si>
    <t>KQL65/170-5.5/2</t>
  </si>
  <si>
    <t>490x360</t>
  </si>
  <si>
    <t>二用一備</t>
  </si>
  <si>
    <t>PU-2</t>
  </si>
  <si>
    <t>KQL80/170-7.5/2</t>
  </si>
  <si>
    <t>520x360</t>
  </si>
  <si>
    <t>PU-3</t>
  </si>
  <si>
    <t>循環水泵特性表</t>
  </si>
  <si>
    <t>泳池</t>
  </si>
  <si>
    <t>SP-1</t>
  </si>
  <si>
    <t>KQL80/140-5.5/2</t>
  </si>
  <si>
    <t>主泵</t>
  </si>
  <si>
    <t>副泵</t>
  </si>
  <si>
    <t>兒童泳池</t>
  </si>
  <si>
    <t>KQL50/150-2.2/2</t>
  </si>
  <si>
    <t>水力按摩池</t>
  </si>
  <si>
    <t>冰力按摩池</t>
  </si>
  <si>
    <t>礦物池</t>
  </si>
  <si>
    <t>SP-13</t>
  </si>
  <si>
    <t>香薰水療池</t>
  </si>
  <si>
    <t>SP-14</t>
  </si>
  <si>
    <t>KQL50/140-1.5/2</t>
  </si>
  <si>
    <t>SP-15</t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</si>
  <si>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卫（单元）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</si>
  <si>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卫（单元）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</si>
  <si>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卫（复式）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</si>
  <si>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卫（复式）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</si>
  <si>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卫（复式）</t>
    </r>
  </si>
  <si>
    <t>選型</t>
  </si>
  <si>
    <t>流速</t>
  </si>
  <si>
    <t>鋼管</t>
  </si>
  <si>
    <r>
      <t>PP-R</t>
    </r>
    <r>
      <rPr>
        <sz val="10"/>
        <rFont val="新細明體"/>
        <family val="1"/>
      </rPr>
      <t>管</t>
    </r>
  </si>
  <si>
    <r>
      <t>UPVC</t>
    </r>
    <r>
      <rPr>
        <sz val="10"/>
        <rFont val="新細明體"/>
        <family val="1"/>
      </rPr>
      <t>管</t>
    </r>
  </si>
  <si>
    <t>銅管</t>
  </si>
  <si>
    <t>流速修正</t>
  </si>
  <si>
    <r>
      <t>係數</t>
    </r>
    <r>
      <rPr>
        <sz val="10"/>
        <rFont val="Times New Roman"/>
        <family val="1"/>
      </rPr>
      <t>K</t>
    </r>
    <r>
      <rPr>
        <vertAlign val="subscript"/>
        <sz val="10"/>
        <rFont val="Times New Roman"/>
        <family val="1"/>
      </rPr>
      <t>2</t>
    </r>
  </si>
  <si>
    <t>公徑</t>
  </si>
  <si>
    <t>標準流速</t>
  </si>
  <si>
    <t>標準流速</t>
  </si>
  <si>
    <t>公徑</t>
  </si>
  <si>
    <t>設計</t>
  </si>
  <si>
    <t>住宅类型</t>
  </si>
  <si>
    <t>最高日</t>
  </si>
  <si>
    <t>小時</t>
  </si>
  <si>
    <t>衛生器具</t>
  </si>
  <si>
    <t>計算管段</t>
  </si>
  <si>
    <t>用水</t>
  </si>
  <si>
    <t>平均</t>
  </si>
  <si>
    <t>設計</t>
  </si>
  <si>
    <r>
      <t>PP-R</t>
    </r>
    <r>
      <rPr>
        <sz val="10"/>
        <rFont val="新細明體"/>
        <family val="1"/>
      </rPr>
      <t>管</t>
    </r>
  </si>
  <si>
    <t>銅管</t>
  </si>
  <si>
    <t>用水定額</t>
  </si>
  <si>
    <t>變化</t>
  </si>
  <si>
    <t>洗臉盆</t>
  </si>
  <si>
    <t>浴盆</t>
  </si>
  <si>
    <t>洗滌盆</t>
  </si>
  <si>
    <t>淋浴器</t>
  </si>
  <si>
    <t>給水當量</t>
  </si>
  <si>
    <t>時間</t>
  </si>
  <si>
    <t>出流概率</t>
  </si>
  <si>
    <t>同時</t>
  </si>
  <si>
    <t>秒流量</t>
  </si>
  <si>
    <t>公徑</t>
  </si>
  <si>
    <t>流速</t>
  </si>
  <si>
    <t>(L/人.d)</t>
  </si>
  <si>
    <t>(人)</t>
  </si>
  <si>
    <t>系數</t>
  </si>
  <si>
    <t>數量</t>
  </si>
  <si>
    <t>當量</t>
  </si>
  <si>
    <t>總數</t>
  </si>
  <si>
    <t>(h)</t>
  </si>
  <si>
    <t>對應系數</t>
  </si>
  <si>
    <t>(L/s)</t>
  </si>
  <si>
    <t>(mm)</t>
  </si>
  <si>
    <t>(m/s)</t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</si>
  <si>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卫（单元）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</si>
  <si>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卫（单元）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</si>
  <si>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卫（单元）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</si>
  <si>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卫（复式）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</si>
  <si>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卫（复式）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</si>
  <si>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卫（复式）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</si>
  <si>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卫（别墅）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</si>
  <si>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卫（别墅）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</si>
  <si>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卫（别墅）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</si>
  <si>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卫（别墅）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</si>
  <si>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卫（别墅）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</si>
  <si>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卫（别墅）</t>
    </r>
  </si>
  <si>
    <r>
      <t>1</t>
    </r>
    <r>
      <rPr>
        <sz val="10"/>
        <rFont val="宋体"/>
        <family val="0"/>
      </rPr>
      <t>厨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卫（别墅）</t>
    </r>
  </si>
  <si>
    <r>
      <t>住宅即热式热水器及管径计算</t>
    </r>
    <r>
      <rPr>
        <u val="single"/>
        <sz val="14"/>
        <rFont val="Times New Roman"/>
        <family val="1"/>
      </rPr>
      <t xml:space="preserve"> </t>
    </r>
  </si>
  <si>
    <t>即热式热水器</t>
  </si>
  <si>
    <t>用水</t>
  </si>
  <si>
    <t>人數</t>
  </si>
  <si>
    <t>最大用水</t>
  </si>
  <si>
    <t>時平均</t>
  </si>
  <si>
    <t>高區</t>
  </si>
  <si>
    <t>區域</t>
  </si>
  <si>
    <t>變頻泵</t>
  </si>
  <si>
    <t>最低供水流量</t>
  </si>
  <si>
    <t>气压罐容积计算表</t>
  </si>
  <si>
    <t>1h水泵</t>
  </si>
  <si>
    <t>气压罐</t>
  </si>
  <si>
    <t>气压罐最低</t>
  </si>
  <si>
    <t>气压罐最高</t>
  </si>
  <si>
    <t>最低供水比例</t>
  </si>
  <si>
    <t>启动系数</t>
  </si>
  <si>
    <t>调节容积</t>
  </si>
  <si>
    <t>工作压力</t>
  </si>
  <si>
    <t>总容积</t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</si>
  <si>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</t>
    </r>
  </si>
  <si>
    <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</si>
  <si>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</si>
  <si>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注：本项目采用变频泵给水，故在计算气压罐容积时水泵出流量只按泵组中最小的一部考虑。</t>
  </si>
  <si>
    <t>供水</t>
  </si>
  <si>
    <t>变频水泵計算表</t>
  </si>
  <si>
    <t>變頻水泵</t>
  </si>
  <si>
    <t>額定流量</t>
  </si>
  <si>
    <t>熱水器</t>
  </si>
  <si>
    <t>(L/min)</t>
  </si>
  <si>
    <t>16x2</t>
  </si>
  <si>
    <t>20x2</t>
  </si>
  <si>
    <t>24x2</t>
  </si>
  <si>
    <t>出水量</t>
  </si>
  <si>
    <t>高區</t>
  </si>
  <si>
    <t>中區</t>
  </si>
  <si>
    <t>低區</t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</si>
  <si>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/h)</t>
    </r>
  </si>
  <si>
    <r>
      <t>最大時</t>
    </r>
  </si>
  <si>
    <t>用水量</t>
  </si>
  <si>
    <t>减压阀</t>
  </si>
  <si>
    <t>安装标高</t>
  </si>
  <si>
    <t>屋顶水箱生活</t>
  </si>
  <si>
    <t>最低水位标高</t>
  </si>
  <si>
    <t>阀前</t>
  </si>
  <si>
    <t>压力</t>
  </si>
  <si>
    <t>阀后</t>
  </si>
  <si>
    <t>压力</t>
  </si>
  <si>
    <t>阀前阀后</t>
  </si>
  <si>
    <t>压差</t>
  </si>
  <si>
    <t>区内</t>
  </si>
  <si>
    <t>高压</t>
  </si>
  <si>
    <t>低压</t>
  </si>
  <si>
    <t>分項</t>
  </si>
  <si>
    <t>减压阀计算</t>
  </si>
  <si>
    <t>分区最低</t>
  </si>
  <si>
    <t>层标高</t>
  </si>
  <si>
    <t>分区最高</t>
  </si>
  <si>
    <t>高区</t>
  </si>
  <si>
    <t>中区</t>
  </si>
  <si>
    <t>低区</t>
  </si>
  <si>
    <t>区域</t>
  </si>
  <si>
    <t>注：上表各衛生間以供應一個洗臉盆及一個浴盆熱水的標準進行計算。</t>
  </si>
  <si>
    <t>水泵</t>
  </si>
  <si>
    <t>名稱</t>
  </si>
  <si>
    <t>给水</t>
  </si>
  <si>
    <t>设计流量</t>
  </si>
  <si>
    <r>
      <t>海澄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威廉</t>
    </r>
  </si>
  <si>
    <t>系数</t>
  </si>
  <si>
    <t>计算内经</t>
  </si>
  <si>
    <r>
      <t>C</t>
    </r>
    <r>
      <rPr>
        <vertAlign val="subscript"/>
        <sz val="12"/>
        <rFont val="Times New Roman"/>
        <family val="1"/>
      </rPr>
      <t>h</t>
    </r>
  </si>
  <si>
    <t>(m)</t>
  </si>
  <si>
    <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/s)</t>
    </r>
  </si>
  <si>
    <t>管道单位长度</t>
  </si>
  <si>
    <t>水头损失</t>
  </si>
  <si>
    <t>(kPa/m)</t>
  </si>
  <si>
    <t>长度</t>
  </si>
  <si>
    <t>局部损失</t>
  </si>
  <si>
    <t>总损失</t>
  </si>
  <si>
    <t>管材</t>
  </si>
  <si>
    <t>塑料管</t>
  </si>
  <si>
    <t>铜管、不锈钢管</t>
  </si>
  <si>
    <t>衬水泥、树脂铸铁管</t>
  </si>
  <si>
    <t>普通钢管、铸铁管</t>
  </si>
  <si>
    <t>取值</t>
  </si>
  <si>
    <t>备注</t>
  </si>
  <si>
    <t>计算流速</t>
  </si>
  <si>
    <t>(m/s)</t>
  </si>
  <si>
    <t>水头损失</t>
  </si>
  <si>
    <t>管道</t>
  </si>
  <si>
    <t>管道</t>
  </si>
  <si>
    <t>管道沿程</t>
  </si>
  <si>
    <t>给水管道水头损失计算表</t>
  </si>
  <si>
    <t>設計</t>
  </si>
  <si>
    <t>管徑</t>
  </si>
  <si>
    <t>流速</t>
  </si>
  <si>
    <t>單位長度</t>
  </si>
  <si>
    <t>水頭損失</t>
  </si>
  <si>
    <t>(m)</t>
  </si>
  <si>
    <r>
      <t>16</t>
    </r>
    <r>
      <rPr>
        <sz val="10"/>
        <rFont val="新細明體"/>
        <family val="1"/>
      </rPr>
      <t>x1</t>
    </r>
  </si>
  <si>
    <t>室外游泳池补水</t>
  </si>
  <si>
    <t>20x1</t>
  </si>
  <si>
    <t>用水項目</t>
  </si>
  <si>
    <t>住宅</t>
  </si>
  <si>
    <t>(L)</t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</si>
  <si>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/d)</t>
    </r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</si>
  <si>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/h)</t>
    </r>
  </si>
  <si>
    <t>人</t>
  </si>
  <si>
    <t>住宅停车库</t>
  </si>
  <si>
    <r>
      <t>m</t>
    </r>
    <r>
      <rPr>
        <vertAlign val="superscript"/>
        <sz val="10"/>
        <rFont val="新細明體"/>
        <family val="1"/>
      </rPr>
      <t>2</t>
    </r>
  </si>
  <si>
    <r>
      <t>m</t>
    </r>
    <r>
      <rPr>
        <vertAlign val="superscript"/>
        <sz val="10"/>
        <rFont val="新細明體"/>
        <family val="1"/>
      </rPr>
      <t>2</t>
    </r>
  </si>
  <si>
    <t>快餐店顾客</t>
  </si>
  <si>
    <t>人次</t>
  </si>
  <si>
    <t>員工</t>
  </si>
  <si>
    <t>人</t>
  </si>
  <si>
    <t>商场停车库</t>
  </si>
  <si>
    <t>會所</t>
  </si>
  <si>
    <t>顾客</t>
  </si>
  <si>
    <r>
      <t>m</t>
    </r>
    <r>
      <rPr>
        <vertAlign val="superscript"/>
        <sz val="10"/>
        <rFont val="Times New Roman"/>
        <family val="1"/>
      </rPr>
      <t>3</t>
    </r>
  </si>
  <si>
    <r>
      <t>每小时按池水容积</t>
    </r>
    <r>
      <rPr>
        <b/>
        <sz val="10"/>
        <rFont val="Times New Roman"/>
        <family val="1"/>
      </rPr>
      <t>20%</t>
    </r>
  </si>
  <si>
    <r>
      <t>每日按池水容积</t>
    </r>
    <r>
      <rPr>
        <b/>
        <sz val="10"/>
        <rFont val="Times New Roman"/>
        <family val="1"/>
      </rPr>
      <t>15%</t>
    </r>
  </si>
  <si>
    <r>
      <t>小计</t>
    </r>
    <r>
      <rPr>
        <sz val="10"/>
        <rFont val="Times New Roman"/>
        <family val="1"/>
      </rPr>
      <t>2</t>
    </r>
  </si>
  <si>
    <r>
      <t>小计</t>
    </r>
    <r>
      <rPr>
        <sz val="10"/>
        <rFont val="Times New Roman"/>
        <family val="1"/>
      </rPr>
      <t>1</t>
    </r>
  </si>
  <si>
    <t xml:space="preserve">重庆南岸南滨路商住区项目二期生活給水/排水量估算表 </t>
  </si>
  <si>
    <t>室外儿童戏水池补水</t>
  </si>
  <si>
    <r>
      <t xml:space="preserve">        2</t>
    </r>
    <r>
      <rPr>
        <sz val="10"/>
        <rFont val="新細明體"/>
        <family val="1"/>
      </rPr>
      <t>、因室外园林设计未确定，未预见用水量按</t>
    </r>
    <r>
      <rPr>
        <sz val="10"/>
        <rFont val="Times New Roman"/>
        <family val="1"/>
      </rPr>
      <t>20%</t>
    </r>
    <r>
      <rPr>
        <sz val="10"/>
        <rFont val="新細明體"/>
        <family val="1"/>
      </rPr>
      <t>确定（正常按</t>
    </r>
    <r>
      <rPr>
        <sz val="10"/>
        <rFont val="Times New Roman"/>
        <family val="1"/>
      </rPr>
      <t>10%~15%</t>
    </r>
    <r>
      <rPr>
        <sz val="10"/>
        <rFont val="新細明體"/>
        <family val="1"/>
      </rPr>
      <t>）。</t>
    </r>
  </si>
  <si>
    <t>相连单元</t>
  </si>
  <si>
    <t>普通单元</t>
  </si>
  <si>
    <t>单位数</t>
  </si>
  <si>
    <t>单位</t>
  </si>
  <si>
    <t>每户人数</t>
  </si>
  <si>
    <t>用水时间</t>
  </si>
  <si>
    <t>时变化</t>
  </si>
  <si>
    <t>系数</t>
  </si>
  <si>
    <t>最大时</t>
  </si>
  <si>
    <t>用水量</t>
  </si>
  <si>
    <t>排水量</t>
  </si>
  <si>
    <t>用水定额</t>
  </si>
  <si>
    <t>户数</t>
  </si>
  <si>
    <t>分项</t>
  </si>
  <si>
    <t>商铺</t>
  </si>
  <si>
    <r>
      <t>m</t>
    </r>
    <r>
      <rPr>
        <vertAlign val="superscript"/>
        <sz val="10"/>
        <rFont val="新細明體"/>
        <family val="1"/>
      </rPr>
      <t>2</t>
    </r>
  </si>
  <si>
    <t>商业</t>
  </si>
  <si>
    <t>绿地及道路洒水</t>
  </si>
  <si>
    <r>
      <t>小计</t>
    </r>
    <r>
      <rPr>
        <sz val="10"/>
        <rFont val="Times New Roman"/>
        <family val="1"/>
      </rPr>
      <t>3</t>
    </r>
  </si>
  <si>
    <t>Town House</t>
  </si>
  <si>
    <t>給水立管計算表</t>
  </si>
  <si>
    <t>供水</t>
  </si>
  <si>
    <t>用水</t>
  </si>
  <si>
    <t>每户</t>
  </si>
  <si>
    <t>區域</t>
  </si>
  <si>
    <t>户数</t>
  </si>
  <si>
    <t>人数</t>
  </si>
  <si>
    <t>人數</t>
  </si>
  <si>
    <t>（户）</t>
  </si>
  <si>
    <t>給水</t>
  </si>
  <si>
    <t>當量數</t>
  </si>
  <si>
    <t>市政给水区</t>
  </si>
  <si>
    <t>二次加压给水低区</t>
  </si>
  <si>
    <t>二次加压给水中区</t>
  </si>
  <si>
    <r>
      <t>B6</t>
    </r>
    <r>
      <rPr>
        <sz val="10"/>
        <rFont val="宋体"/>
        <family val="0"/>
      </rPr>
      <t>栋住宅给水超高区</t>
    </r>
  </si>
  <si>
    <r>
      <t>B7</t>
    </r>
    <r>
      <rPr>
        <sz val="10"/>
        <rFont val="宋体"/>
        <family val="0"/>
      </rPr>
      <t>栋住宅给水超高区</t>
    </r>
  </si>
  <si>
    <r>
      <t>B8</t>
    </r>
    <r>
      <rPr>
        <sz val="10"/>
        <rFont val="宋体"/>
        <family val="0"/>
      </rPr>
      <t>栋住宅给水超高区</t>
    </r>
  </si>
  <si>
    <r>
      <t>B6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B8</t>
    </r>
    <r>
      <rPr>
        <sz val="10"/>
        <rFont val="宋体"/>
        <family val="0"/>
      </rPr>
      <t>栋住宅给水超高区</t>
    </r>
  </si>
  <si>
    <r>
      <t>二次加压给水高区</t>
    </r>
    <r>
      <rPr>
        <sz val="10"/>
        <rFont val="Times New Roman"/>
        <family val="1"/>
      </rPr>
      <t>1</t>
    </r>
  </si>
  <si>
    <r>
      <t>二次加压给水高区</t>
    </r>
    <r>
      <rPr>
        <sz val="10"/>
        <rFont val="Times New Roman"/>
        <family val="1"/>
      </rPr>
      <t>2</t>
    </r>
  </si>
  <si>
    <r>
      <t>B6</t>
    </r>
    <r>
      <rPr>
        <sz val="10"/>
        <rFont val="宋体"/>
        <family val="0"/>
      </rPr>
      <t>栋住宅给水超高区</t>
    </r>
    <r>
      <rPr>
        <sz val="10"/>
        <rFont val="Times New Roman"/>
        <family val="1"/>
      </rPr>
      <t>1</t>
    </r>
  </si>
  <si>
    <r>
      <t>B6</t>
    </r>
    <r>
      <rPr>
        <sz val="10"/>
        <rFont val="宋体"/>
        <family val="0"/>
      </rPr>
      <t>栋住宅给水超高区</t>
    </r>
    <r>
      <rPr>
        <sz val="10"/>
        <rFont val="Times New Roman"/>
        <family val="1"/>
      </rPr>
      <t>2</t>
    </r>
  </si>
  <si>
    <r>
      <t>B7</t>
    </r>
    <r>
      <rPr>
        <sz val="10"/>
        <rFont val="宋体"/>
        <family val="0"/>
      </rPr>
      <t>栋住宅给水超高区</t>
    </r>
    <r>
      <rPr>
        <sz val="10"/>
        <rFont val="Times New Roman"/>
        <family val="1"/>
      </rPr>
      <t>1</t>
    </r>
  </si>
  <si>
    <r>
      <t>B7</t>
    </r>
    <r>
      <rPr>
        <sz val="10"/>
        <rFont val="宋体"/>
        <family val="0"/>
      </rPr>
      <t>栋住宅给水超高区</t>
    </r>
    <r>
      <rPr>
        <sz val="10"/>
        <rFont val="Times New Roman"/>
        <family val="1"/>
      </rPr>
      <t>2</t>
    </r>
  </si>
  <si>
    <r>
      <t>B8</t>
    </r>
    <r>
      <rPr>
        <sz val="10"/>
        <rFont val="宋体"/>
        <family val="0"/>
      </rPr>
      <t>栋住宅给水超高区</t>
    </r>
    <r>
      <rPr>
        <sz val="10"/>
        <rFont val="Times New Roman"/>
        <family val="1"/>
      </rPr>
      <t>1</t>
    </r>
  </si>
  <si>
    <r>
      <t>B8</t>
    </r>
    <r>
      <rPr>
        <sz val="10"/>
        <rFont val="宋体"/>
        <family val="0"/>
      </rPr>
      <t>栋住宅给水超高区</t>
    </r>
    <r>
      <rPr>
        <sz val="10"/>
        <rFont val="Times New Roman"/>
        <family val="1"/>
      </rPr>
      <t>2</t>
    </r>
  </si>
  <si>
    <r>
      <t>B8</t>
    </r>
    <r>
      <rPr>
        <sz val="10"/>
        <rFont val="宋体"/>
        <family val="0"/>
      </rPr>
      <t>栋住宅给水超高区</t>
    </r>
    <r>
      <rPr>
        <sz val="10"/>
        <rFont val="Times New Roman"/>
        <family val="1"/>
      </rPr>
      <t>3</t>
    </r>
  </si>
  <si>
    <t>JL-B1-01</t>
  </si>
  <si>
    <t>JL-B5-01</t>
  </si>
  <si>
    <t>JL-B1-02</t>
  </si>
  <si>
    <t>JL-B2-02</t>
  </si>
  <si>
    <t>JL-B3-02</t>
  </si>
  <si>
    <t>JL-B5-02</t>
  </si>
  <si>
    <t>JL-B5-03</t>
  </si>
  <si>
    <t>JL-B6-01</t>
  </si>
  <si>
    <t>JL-B6-03</t>
  </si>
  <si>
    <t>JL-B6-02</t>
  </si>
  <si>
    <t>JL-B6-02a</t>
  </si>
  <si>
    <t>JL-B6-02b</t>
  </si>
  <si>
    <t>JL-B6-03a</t>
  </si>
  <si>
    <t>JL-B6-03b</t>
  </si>
  <si>
    <t>餐飲商铺</t>
  </si>
  <si>
    <r>
      <t>注：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、餐饮用餐人数的确定，餐饮面积按原商铺总面积的</t>
    </r>
    <r>
      <rPr>
        <sz val="10"/>
        <rFont val="Times New Roman"/>
        <family val="1"/>
      </rPr>
      <t>1/3</t>
    </r>
    <r>
      <rPr>
        <sz val="10"/>
        <rFont val="新細明體"/>
        <family val="1"/>
      </rPr>
      <t>，餐厅餐厨比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，</t>
    </r>
    <r>
      <rPr>
        <sz val="10"/>
        <rFont val="Times New Roman"/>
        <family val="1"/>
      </rPr>
      <t>1.3m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座，一天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餐；</t>
    </r>
  </si>
  <si>
    <t>每人每日</t>
  </si>
  <si>
    <t>污水停留</t>
  </si>
  <si>
    <t>污水部分</t>
  </si>
  <si>
    <t>污泥</t>
  </si>
  <si>
    <t>污泥部分</t>
  </si>
  <si>
    <t>取值</t>
  </si>
  <si>
    <t>生活污水量</t>
  </si>
  <si>
    <t>污泥量</t>
  </si>
  <si>
    <t>含水率</t>
  </si>
  <si>
    <t>住宅</t>
  </si>
  <si>
    <r>
      <t>(人</t>
    </r>
    <r>
      <rPr>
        <sz val="10"/>
        <rFont val="新細明體"/>
        <family val="1"/>
      </rPr>
      <t>)</t>
    </r>
  </si>
  <si>
    <t>(L/人.d)</t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</si>
  <si>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)</t>
    </r>
  </si>
  <si>
    <t>(L/人.d)</t>
  </si>
  <si>
    <t>(d)</t>
  </si>
  <si>
    <t>商务公寓</t>
  </si>
  <si>
    <t>商业</t>
  </si>
  <si>
    <t>商铺</t>
  </si>
  <si>
    <t>一般</t>
  </si>
  <si>
    <t>餐饮</t>
  </si>
  <si>
    <t>排水項目</t>
  </si>
  <si>
    <t>排水</t>
  </si>
  <si>
    <t>人数</t>
  </si>
  <si>
    <t>实际</t>
  </si>
  <si>
    <t>使用人数</t>
  </si>
  <si>
    <t>时间</t>
  </si>
  <si>
    <t>清淘周期</t>
  </si>
  <si>
    <t>新鲜污泥</t>
  </si>
  <si>
    <t>浓缩污泥</t>
  </si>
  <si>
    <t>污泥体积</t>
  </si>
  <si>
    <t>缩减系数</t>
  </si>
  <si>
    <t>容积</t>
  </si>
  <si>
    <t>会所</t>
  </si>
  <si>
    <t>说明：本工程采用雨污分流，污废合流制排水。</t>
  </si>
  <si>
    <t>生化池</t>
  </si>
  <si>
    <t>总计=合計+未預見</t>
  </si>
  <si>
    <r>
      <t>合计</t>
    </r>
    <r>
      <rPr>
        <sz val="10"/>
        <rFont val="Times New Roman"/>
        <family val="1"/>
      </rPr>
      <t>=</t>
    </r>
    <r>
      <rPr>
        <sz val="10"/>
        <rFont val="新細明體"/>
        <family val="1"/>
      </rPr>
      <t>小计</t>
    </r>
    <r>
      <rPr>
        <sz val="10"/>
        <rFont val="Times New Roman"/>
        <family val="1"/>
      </rPr>
      <t>1+</t>
    </r>
    <r>
      <rPr>
        <sz val="10"/>
        <rFont val="新細明體"/>
        <family val="1"/>
      </rPr>
      <t>小计</t>
    </r>
    <r>
      <rPr>
        <sz val="10"/>
        <rFont val="Times New Roman"/>
        <family val="1"/>
      </rPr>
      <t>2+</t>
    </r>
    <r>
      <rPr>
        <sz val="10"/>
        <rFont val="新細明體"/>
        <family val="1"/>
      </rPr>
      <t>小计</t>
    </r>
    <r>
      <rPr>
        <sz val="10"/>
        <rFont val="Times New Roman"/>
        <family val="1"/>
      </rPr>
      <t>3</t>
    </r>
  </si>
  <si>
    <r>
      <t>未预见</t>
    </r>
    <r>
      <rPr>
        <sz val="10"/>
        <rFont val="Times New Roman"/>
        <family val="1"/>
      </rPr>
      <t>=</t>
    </r>
    <r>
      <rPr>
        <sz val="10"/>
        <rFont val="新細明體"/>
        <family val="1"/>
      </rPr>
      <t>合计</t>
    </r>
    <r>
      <rPr>
        <sz val="10"/>
        <rFont val="Times New Roman"/>
        <family val="1"/>
      </rPr>
      <t>*20%</t>
    </r>
  </si>
  <si>
    <t>排水項目</t>
  </si>
  <si>
    <t>排水</t>
  </si>
  <si>
    <t>实际</t>
  </si>
  <si>
    <t>每人每日</t>
  </si>
  <si>
    <t>污水停留</t>
  </si>
  <si>
    <t>污水部分</t>
  </si>
  <si>
    <t>污泥</t>
  </si>
  <si>
    <t>新鲜污泥</t>
  </si>
  <si>
    <t>浓缩污泥</t>
  </si>
  <si>
    <t>污泥体积</t>
  </si>
  <si>
    <t>污泥部分</t>
  </si>
  <si>
    <t>生化池</t>
  </si>
  <si>
    <t>取值</t>
  </si>
  <si>
    <t>人数</t>
  </si>
  <si>
    <t>使用人数</t>
  </si>
  <si>
    <t>生活污水量</t>
  </si>
  <si>
    <t>时间</t>
  </si>
  <si>
    <t>容积</t>
  </si>
  <si>
    <t>污泥量</t>
  </si>
  <si>
    <t>清淘周期</t>
  </si>
  <si>
    <t>含水率</t>
  </si>
  <si>
    <t>缩减系数</t>
  </si>
  <si>
    <t>容积</t>
  </si>
  <si>
    <t>住宅</t>
  </si>
  <si>
    <t>分项</t>
  </si>
  <si>
    <t>户数</t>
  </si>
  <si>
    <t>每户人数</t>
  </si>
  <si>
    <r>
      <t>(人</t>
    </r>
    <r>
      <rPr>
        <sz val="10"/>
        <rFont val="新細明體"/>
        <family val="1"/>
      </rPr>
      <t>)</t>
    </r>
  </si>
  <si>
    <t>(人)</t>
  </si>
  <si>
    <t>(L/人.d)</t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</si>
  <si>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)</t>
    </r>
  </si>
  <si>
    <t>普通单元</t>
  </si>
  <si>
    <t>相连单元</t>
  </si>
  <si>
    <t>Town House</t>
  </si>
  <si>
    <r>
      <t>小计</t>
    </r>
    <r>
      <rPr>
        <sz val="10"/>
        <rFont val="Times New Roman"/>
        <family val="1"/>
      </rPr>
      <t>1</t>
    </r>
  </si>
  <si>
    <t>商业</t>
  </si>
  <si>
    <t>商铺</t>
  </si>
  <si>
    <t>一般</t>
  </si>
  <si>
    <t>餐饮</t>
  </si>
  <si>
    <t>会所</t>
  </si>
  <si>
    <r>
      <t>小计</t>
    </r>
    <r>
      <rPr>
        <sz val="10"/>
        <rFont val="Times New Roman"/>
        <family val="1"/>
      </rPr>
      <t>2</t>
    </r>
  </si>
  <si>
    <t>合计</t>
  </si>
  <si>
    <t>说明：本工程采用雨污分流，污废合流制排水。</t>
  </si>
  <si>
    <r>
      <t>B1</t>
    </r>
    <r>
      <rPr>
        <sz val="10"/>
        <rFont val="宋体"/>
        <family val="0"/>
      </rPr>
      <t>栋</t>
    </r>
  </si>
  <si>
    <r>
      <t>B2</t>
    </r>
    <r>
      <rPr>
        <sz val="10"/>
        <rFont val="宋体"/>
        <family val="0"/>
      </rPr>
      <t>栋</t>
    </r>
  </si>
  <si>
    <r>
      <t>B3</t>
    </r>
    <r>
      <rPr>
        <sz val="10"/>
        <rFont val="宋体"/>
        <family val="0"/>
      </rPr>
      <t>栋</t>
    </r>
  </si>
  <si>
    <r>
      <t>B4</t>
    </r>
    <r>
      <rPr>
        <sz val="10"/>
        <rFont val="宋体"/>
        <family val="0"/>
      </rPr>
      <t>栋</t>
    </r>
  </si>
  <si>
    <r>
      <t>B5</t>
    </r>
    <r>
      <rPr>
        <sz val="10"/>
        <rFont val="宋体"/>
        <family val="0"/>
      </rPr>
      <t>栋</t>
    </r>
  </si>
  <si>
    <r>
      <t>B6</t>
    </r>
    <r>
      <rPr>
        <sz val="10"/>
        <rFont val="宋体"/>
        <family val="0"/>
      </rPr>
      <t>栋</t>
    </r>
  </si>
  <si>
    <r>
      <t>B7</t>
    </r>
    <r>
      <rPr>
        <sz val="10"/>
        <rFont val="宋体"/>
        <family val="0"/>
      </rPr>
      <t>栋</t>
    </r>
  </si>
  <si>
    <r>
      <t>B8</t>
    </r>
    <r>
      <rPr>
        <sz val="10"/>
        <rFont val="宋体"/>
        <family val="0"/>
      </rPr>
      <t>栋</t>
    </r>
  </si>
  <si>
    <t>小计</t>
  </si>
  <si>
    <t>重庆南岸南滨路商住区项目二期化粪池计算表</t>
  </si>
  <si>
    <t>排水項目</t>
  </si>
  <si>
    <t>降雨歷時t</t>
  </si>
  <si>
    <t>重現期P</t>
  </si>
  <si>
    <r>
      <t xml:space="preserve">設計降雨強度q </t>
    </r>
    <r>
      <rPr>
        <vertAlign val="subscript"/>
        <sz val="10"/>
        <rFont val="新細明體"/>
        <family val="1"/>
      </rPr>
      <t>j</t>
    </r>
  </si>
  <si>
    <t>徑流系數</t>
  </si>
  <si>
    <t>設計雨水流量</t>
  </si>
  <si>
    <t>分項</t>
  </si>
  <si>
    <t>范圍</t>
  </si>
  <si>
    <r>
      <t>匯水面積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</si>
  <si>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(min)</t>
  </si>
  <si>
    <t>(年)</t>
  </si>
  <si>
    <t>(L/s.ha)</t>
  </si>
  <si>
    <t>(L/s)</t>
  </si>
  <si>
    <r>
      <t>范圍</t>
    </r>
    <r>
      <rPr>
        <sz val="10"/>
        <rFont val="Times New Roman"/>
        <family val="1"/>
      </rPr>
      <t>1</t>
    </r>
  </si>
  <si>
    <r>
      <t xml:space="preserve">注：設計降雨強度q </t>
    </r>
    <r>
      <rPr>
        <vertAlign val="subscript"/>
        <sz val="10"/>
        <rFont val="新細明體"/>
        <family val="1"/>
      </rPr>
      <t xml:space="preserve">j </t>
    </r>
    <r>
      <rPr>
        <sz val="10"/>
        <rFont val="新細明體"/>
        <family val="1"/>
      </rPr>
      <t xml:space="preserve">=2424.17(1+0.533lgP)/(t+11.0) </t>
    </r>
    <r>
      <rPr>
        <vertAlign val="superscript"/>
        <sz val="10"/>
        <rFont val="新細明體"/>
        <family val="1"/>
      </rPr>
      <t>0.668</t>
    </r>
  </si>
  <si>
    <t xml:space="preserve">室外雨水計算表 </t>
  </si>
  <si>
    <t>匯水</t>
  </si>
  <si>
    <t>本段</t>
  </si>
  <si>
    <t>纍計</t>
  </si>
  <si>
    <t>地面集水</t>
  </si>
  <si>
    <t>折減</t>
  </si>
  <si>
    <r>
      <t>管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渠</t>
    </r>
    <r>
      <rPr>
        <sz val="10"/>
        <rFont val="Times New Roman"/>
        <family val="1"/>
      </rPr>
      <t>)</t>
    </r>
  </si>
  <si>
    <r>
      <t>管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渠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内雨水流行</t>
    </r>
  </si>
  <si>
    <t>降雨</t>
  </si>
  <si>
    <t>重現期</t>
  </si>
  <si>
    <t>設計降雨</t>
  </si>
  <si>
    <t>徑流</t>
  </si>
  <si>
    <t>設計雨水</t>
  </si>
  <si>
    <t>管徑</t>
  </si>
  <si>
    <t>管徑</t>
  </si>
  <si>
    <t>管道</t>
  </si>
  <si>
    <t>最大充</t>
  </si>
  <si>
    <r>
      <t>角度</t>
    </r>
    <r>
      <rPr>
        <sz val="10"/>
        <rFont val="Times New Roman"/>
        <family val="1"/>
      </rPr>
      <t>a</t>
    </r>
  </si>
  <si>
    <r>
      <t>a</t>
    </r>
    <r>
      <rPr>
        <sz val="10"/>
        <rFont val="新細明體"/>
        <family val="1"/>
      </rPr>
      <t>角對邊長</t>
    </r>
  </si>
  <si>
    <t>三角形</t>
  </si>
  <si>
    <t>扇形面積</t>
  </si>
  <si>
    <t>水流有效</t>
  </si>
  <si>
    <t>濕周</t>
  </si>
  <si>
    <t>水力半徑</t>
  </si>
  <si>
    <t>粗糙系數</t>
  </si>
  <si>
    <t>水力坡度</t>
  </si>
  <si>
    <t>流速</t>
  </si>
  <si>
    <t>排水能力</t>
  </si>
  <si>
    <t>面積</t>
  </si>
  <si>
    <r>
      <t>時間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1</t>
    </r>
  </si>
  <si>
    <r>
      <t>係數</t>
    </r>
    <r>
      <rPr>
        <sz val="10"/>
        <rFont val="Times New Roman"/>
        <family val="1"/>
      </rPr>
      <t>m</t>
    </r>
  </si>
  <si>
    <r>
      <t>長</t>
    </r>
    <r>
      <rPr>
        <sz val="10"/>
        <rFont val="Times New Roman"/>
        <family val="1"/>
      </rPr>
      <t>L</t>
    </r>
  </si>
  <si>
    <r>
      <t>纍計時間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2</t>
    </r>
  </si>
  <si>
    <r>
      <t>歷時</t>
    </r>
    <r>
      <rPr>
        <sz val="10"/>
        <rFont val="Times New Roman"/>
        <family val="1"/>
      </rPr>
      <t>t</t>
    </r>
  </si>
  <si>
    <t>P</t>
  </si>
  <si>
    <r>
      <t>強度</t>
    </r>
    <r>
      <rPr>
        <sz val="10"/>
        <rFont val="Times New Roman"/>
        <family val="1"/>
      </rPr>
      <t>q j</t>
    </r>
  </si>
  <si>
    <t>系數</t>
  </si>
  <si>
    <t>流量</t>
  </si>
  <si>
    <t>內徑</t>
  </si>
  <si>
    <t>滿度</t>
  </si>
  <si>
    <t>斷面面積</t>
  </si>
  <si>
    <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</si>
  <si>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(m)</t>
  </si>
  <si>
    <t>(mm)</t>
  </si>
  <si>
    <t>(mm)</t>
  </si>
  <si>
    <r>
      <t>(弧度表示</t>
    </r>
    <r>
      <rPr>
        <sz val="10"/>
        <rFont val="Times New Roman"/>
        <family val="1"/>
      </rPr>
      <t>)</t>
    </r>
  </si>
  <si>
    <r>
      <t>(</t>
    </r>
    <r>
      <rPr>
        <sz val="10"/>
        <rFont val="新細明體"/>
        <family val="1"/>
      </rPr>
      <t>半徑為</t>
    </r>
    <r>
      <rPr>
        <sz val="10"/>
        <rFont val="Times New Roman"/>
        <family val="1"/>
      </rPr>
      <t>1)</t>
    </r>
  </si>
  <si>
    <t>(m/s)</t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</si>
  <si>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</si>
  <si>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</t>
    </r>
  </si>
  <si>
    <t>地面</t>
  </si>
  <si>
    <r>
      <t>范圍</t>
    </r>
    <r>
      <rPr>
        <sz val="10"/>
        <rFont val="Times New Roman"/>
        <family val="1"/>
      </rPr>
      <t>4</t>
    </r>
  </si>
  <si>
    <r>
      <t>范圍</t>
    </r>
    <r>
      <rPr>
        <sz val="10"/>
        <rFont val="Times New Roman"/>
        <family val="1"/>
      </rPr>
      <t>5</t>
    </r>
  </si>
  <si>
    <r>
      <t>范圍</t>
    </r>
    <r>
      <rPr>
        <sz val="10"/>
        <rFont val="Times New Roman"/>
        <family val="1"/>
      </rPr>
      <t>6</t>
    </r>
  </si>
  <si>
    <r>
      <t>范圍</t>
    </r>
    <r>
      <rPr>
        <sz val="10"/>
        <rFont val="Times New Roman"/>
        <family val="1"/>
      </rPr>
      <t>7</t>
    </r>
  </si>
  <si>
    <r>
      <t>范圍</t>
    </r>
    <r>
      <rPr>
        <sz val="10"/>
        <rFont val="Times New Roman"/>
        <family val="1"/>
      </rPr>
      <t>8</t>
    </r>
  </si>
  <si>
    <r>
      <t>范圍</t>
    </r>
    <r>
      <rPr>
        <sz val="10"/>
        <rFont val="Times New Roman"/>
        <family val="1"/>
      </rPr>
      <t>9</t>
    </r>
  </si>
  <si>
    <r>
      <t>范圍</t>
    </r>
    <r>
      <rPr>
        <sz val="10"/>
        <rFont val="Times New Roman"/>
        <family val="1"/>
      </rPr>
      <t>10</t>
    </r>
  </si>
  <si>
    <r>
      <t>范圍</t>
    </r>
    <r>
      <rPr>
        <sz val="10"/>
        <rFont val="Times New Roman"/>
        <family val="1"/>
      </rPr>
      <t>11</t>
    </r>
  </si>
  <si>
    <r>
      <t>范圍</t>
    </r>
    <r>
      <rPr>
        <sz val="10"/>
        <rFont val="Times New Roman"/>
        <family val="1"/>
      </rPr>
      <t>12</t>
    </r>
  </si>
  <si>
    <r>
      <t>范圍</t>
    </r>
    <r>
      <rPr>
        <sz val="10"/>
        <rFont val="Times New Roman"/>
        <family val="1"/>
      </rPr>
      <t>13</t>
    </r>
  </si>
  <si>
    <r>
      <t>范圍</t>
    </r>
    <r>
      <rPr>
        <sz val="10"/>
        <rFont val="Times New Roman"/>
        <family val="1"/>
      </rPr>
      <t>14</t>
    </r>
  </si>
  <si>
    <r>
      <t>范圍</t>
    </r>
    <r>
      <rPr>
        <sz val="10"/>
        <rFont val="Times New Roman"/>
        <family val="1"/>
      </rPr>
      <t>15</t>
    </r>
  </si>
  <si>
    <r>
      <t>范圍</t>
    </r>
    <r>
      <rPr>
        <sz val="10"/>
        <rFont val="Times New Roman"/>
        <family val="1"/>
      </rPr>
      <t>16</t>
    </r>
  </si>
  <si>
    <r>
      <t>范圍</t>
    </r>
    <r>
      <rPr>
        <sz val="10"/>
        <rFont val="Times New Roman"/>
        <family val="1"/>
      </rPr>
      <t>17</t>
    </r>
  </si>
  <si>
    <r>
      <t>范圍</t>
    </r>
    <r>
      <rPr>
        <sz val="10"/>
        <rFont val="Times New Roman"/>
        <family val="1"/>
      </rPr>
      <t>18</t>
    </r>
  </si>
  <si>
    <t>排水管最大排水流量計算表</t>
  </si>
  <si>
    <t>管材</t>
  </si>
  <si>
    <t>管道內徑</t>
  </si>
  <si>
    <t>最大充滿度</t>
  </si>
  <si>
    <r>
      <t>角度</t>
    </r>
    <r>
      <rPr>
        <sz val="8"/>
        <rFont val="Times New Roman"/>
        <family val="1"/>
      </rPr>
      <t>a</t>
    </r>
  </si>
  <si>
    <r>
      <t>a</t>
    </r>
    <r>
      <rPr>
        <sz val="8"/>
        <rFont val="新細明體"/>
        <family val="1"/>
      </rPr>
      <t>角對邊長</t>
    </r>
  </si>
  <si>
    <t>三角形面積</t>
  </si>
  <si>
    <t>扇形面積</t>
  </si>
  <si>
    <t>水流有效斷面面積</t>
  </si>
  <si>
    <t>濕周</t>
  </si>
  <si>
    <t>水力半徑</t>
  </si>
  <si>
    <t>粗糙系數</t>
  </si>
  <si>
    <t>水力坡度</t>
  </si>
  <si>
    <t>流速</t>
  </si>
  <si>
    <t>排水能力</t>
  </si>
  <si>
    <t>(m)</t>
  </si>
  <si>
    <r>
      <t>(</t>
    </r>
    <r>
      <rPr>
        <sz val="8"/>
        <rFont val="新細明體"/>
        <family val="1"/>
      </rPr>
      <t>弧度表示</t>
    </r>
    <r>
      <rPr>
        <sz val="8"/>
        <rFont val="Times New Roman"/>
        <family val="1"/>
      </rPr>
      <t>)</t>
    </r>
  </si>
  <si>
    <r>
      <t>(</t>
    </r>
    <r>
      <rPr>
        <sz val="8"/>
        <rFont val="新細明體"/>
        <family val="1"/>
      </rPr>
      <t>半徑為</t>
    </r>
    <r>
      <rPr>
        <sz val="8"/>
        <rFont val="Times New Roman"/>
        <family val="1"/>
      </rPr>
      <t>1)</t>
    </r>
  </si>
  <si>
    <r>
      <t>(m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</si>
  <si>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(m/s)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</si>
  <si>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/s)</t>
    </r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</si>
  <si>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/h)</t>
    </r>
  </si>
  <si>
    <t>(L/s)</t>
  </si>
  <si>
    <r>
      <t>UPVC</t>
    </r>
    <r>
      <rPr>
        <sz val="8"/>
        <rFont val="新細明體"/>
        <family val="1"/>
      </rPr>
      <t>管</t>
    </r>
  </si>
  <si>
    <t>混凝土管</t>
  </si>
  <si>
    <r>
      <t>v=1/nR</t>
    </r>
    <r>
      <rPr>
        <vertAlign val="superscript"/>
        <sz val="12"/>
        <rFont val="Times New Roman"/>
        <family val="1"/>
      </rPr>
      <t>2/3</t>
    </r>
    <r>
      <rPr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1/2</t>
    </r>
  </si>
  <si>
    <t>Q=Av</t>
  </si>
  <si>
    <r>
      <t>其中：</t>
    </r>
    <r>
      <rPr>
        <sz val="8"/>
        <rFont val="Times New Roman"/>
        <family val="1"/>
      </rPr>
      <t>n</t>
    </r>
    <r>
      <rPr>
        <sz val="8"/>
        <rFont val="新細明體"/>
        <family val="1"/>
      </rPr>
      <t>為粗糙系數</t>
    </r>
  </si>
  <si>
    <r>
      <t xml:space="preserve">            R</t>
    </r>
    <r>
      <rPr>
        <sz val="8"/>
        <rFont val="新細明體"/>
        <family val="1"/>
      </rPr>
      <t>為水力半徑</t>
    </r>
    <r>
      <rPr>
        <sz val="8"/>
        <rFont val="Times New Roman"/>
        <family val="1"/>
      </rPr>
      <t>(m)</t>
    </r>
  </si>
  <si>
    <r>
      <t xml:space="preserve">             i</t>
    </r>
    <r>
      <rPr>
        <sz val="8"/>
        <rFont val="新細明體"/>
        <family val="1"/>
      </rPr>
      <t>為排水坡度</t>
    </r>
  </si>
  <si>
    <r>
      <t xml:space="preserve">            A</t>
    </r>
    <r>
      <rPr>
        <sz val="8"/>
        <rFont val="新細明體"/>
        <family val="1"/>
      </rPr>
      <t>為水流有效斷面面積</t>
    </r>
    <r>
      <rPr>
        <sz val="8"/>
        <rFont val="Times New Roman"/>
        <family val="1"/>
      </rPr>
      <t>(m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</si>
  <si>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 xml:space="preserve">             v</t>
    </r>
    <r>
      <rPr>
        <sz val="8"/>
        <rFont val="新細明體"/>
        <family val="1"/>
      </rPr>
      <t>為流速</t>
    </r>
    <r>
      <rPr>
        <sz val="8"/>
        <rFont val="Times New Roman"/>
        <family val="1"/>
      </rPr>
      <t>(m/s)</t>
    </r>
  </si>
  <si>
    <r>
      <t xml:space="preserve">             Q</t>
    </r>
    <r>
      <rPr>
        <sz val="8"/>
        <rFont val="新細明體"/>
        <family val="1"/>
      </rPr>
      <t>為設計流量</t>
    </r>
    <r>
      <rPr>
        <sz val="8"/>
        <rFont val="Times New Roman"/>
        <family val="1"/>
      </rP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/s)</t>
    </r>
  </si>
  <si>
    <t xml:space="preserve">重庆南岸南滨路商住区项目二期雨水流量計算表 </t>
  </si>
  <si>
    <r>
      <t>排入市政出口</t>
    </r>
    <r>
      <rPr>
        <sz val="10"/>
        <rFont val="Times New Roman"/>
        <family val="1"/>
      </rPr>
      <t>1</t>
    </r>
  </si>
  <si>
    <r>
      <t>排入市政出口</t>
    </r>
    <r>
      <rPr>
        <sz val="10"/>
        <rFont val="Times New Roman"/>
        <family val="1"/>
      </rPr>
      <t>2</t>
    </r>
  </si>
  <si>
    <r>
      <t>排入市政出口</t>
    </r>
    <r>
      <rPr>
        <sz val="10"/>
        <rFont val="Times New Roman"/>
        <family val="1"/>
      </rPr>
      <t>3</t>
    </r>
  </si>
  <si>
    <r>
      <t>排入市政出口</t>
    </r>
    <r>
      <rPr>
        <sz val="10"/>
        <rFont val="Times New Roman"/>
        <family val="1"/>
      </rPr>
      <t>4</t>
    </r>
  </si>
  <si>
    <r>
      <t xml:space="preserve">注：設計降雨強度q </t>
    </r>
    <r>
      <rPr>
        <vertAlign val="subscript"/>
        <sz val="10"/>
        <rFont val="新細明體"/>
        <family val="1"/>
      </rPr>
      <t xml:space="preserve">j </t>
    </r>
    <r>
      <rPr>
        <sz val="10"/>
        <rFont val="新細明體"/>
        <family val="1"/>
      </rPr>
      <t>=2822(1+0.775lgP)/(t+12.8P</t>
    </r>
    <r>
      <rPr>
        <vertAlign val="superscript"/>
        <sz val="10"/>
        <rFont val="新細明體"/>
        <family val="1"/>
      </rPr>
      <t>0.076</t>
    </r>
    <r>
      <rPr>
        <sz val="10"/>
        <rFont val="新細明體"/>
        <family val="1"/>
      </rPr>
      <t xml:space="preserve">) </t>
    </r>
    <r>
      <rPr>
        <vertAlign val="superscript"/>
        <sz val="10"/>
        <rFont val="新細明體"/>
        <family val="1"/>
      </rPr>
      <t>0.77</t>
    </r>
  </si>
  <si>
    <t>商业</t>
  </si>
  <si>
    <r>
      <t>合计</t>
    </r>
    <r>
      <rPr>
        <sz val="10"/>
        <rFont val="Times New Roman"/>
        <family val="1"/>
      </rPr>
      <t>=</t>
    </r>
    <r>
      <rPr>
        <sz val="10"/>
        <rFont val="新細明體"/>
        <family val="1"/>
      </rPr>
      <t>小计</t>
    </r>
    <r>
      <rPr>
        <sz val="10"/>
        <rFont val="Times New Roman"/>
        <family val="1"/>
      </rPr>
      <t>1+</t>
    </r>
    <r>
      <rPr>
        <sz val="10"/>
        <rFont val="新細明體"/>
        <family val="1"/>
      </rPr>
      <t>小计</t>
    </r>
    <r>
      <rPr>
        <sz val="10"/>
        <rFont val="Times New Roman"/>
        <family val="1"/>
      </rPr>
      <t>2</t>
    </r>
  </si>
  <si>
    <t xml:space="preserve">重庆南岸南滨路商住区项目二期生活排水量估算表 </t>
  </si>
  <si>
    <t xml:space="preserve">重庆南岸南滨路商住区项目二期生活排水量估算表 </t>
  </si>
  <si>
    <t>用水項目</t>
  </si>
  <si>
    <t>单位</t>
  </si>
  <si>
    <t>单位数</t>
  </si>
  <si>
    <t>用水定额</t>
  </si>
  <si>
    <t>用水时间</t>
  </si>
  <si>
    <t>时变化</t>
  </si>
  <si>
    <t>最高日</t>
  </si>
  <si>
    <t>最大时</t>
  </si>
  <si>
    <t>系数</t>
  </si>
  <si>
    <t>用水量</t>
  </si>
  <si>
    <t>排水量</t>
  </si>
  <si>
    <t>住宅</t>
  </si>
  <si>
    <t>分项</t>
  </si>
  <si>
    <t>户数</t>
  </si>
  <si>
    <t>每户人数</t>
  </si>
  <si>
    <t>(L)</t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</si>
  <si>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/d)</t>
    </r>
  </si>
  <si>
    <r>
      <t>(m</t>
    </r>
    <r>
      <rPr>
        <vertAlign val="superscript"/>
        <sz val="10"/>
        <rFont val="新細明體"/>
        <family val="1"/>
      </rPr>
      <t>3</t>
    </r>
    <r>
      <rPr>
        <sz val="10"/>
        <rFont val="新細明體"/>
        <family val="1"/>
      </rPr>
      <t>/h)</t>
    </r>
  </si>
  <si>
    <t>人</t>
  </si>
  <si>
    <t>住宅停车库</t>
  </si>
  <si>
    <r>
      <t>m</t>
    </r>
    <r>
      <rPr>
        <vertAlign val="superscript"/>
        <sz val="10"/>
        <rFont val="新細明體"/>
        <family val="1"/>
      </rPr>
      <t>2</t>
    </r>
  </si>
  <si>
    <r>
      <t>小计</t>
    </r>
    <r>
      <rPr>
        <sz val="10"/>
        <rFont val="Times New Roman"/>
        <family val="1"/>
      </rPr>
      <t>1</t>
    </r>
  </si>
  <si>
    <t>商业</t>
  </si>
  <si>
    <t>商铺</t>
  </si>
  <si>
    <t>商场停车库</t>
  </si>
  <si>
    <t>餐飲商铺</t>
  </si>
  <si>
    <t>快餐店顾客</t>
  </si>
  <si>
    <t>人次</t>
  </si>
  <si>
    <t>員工</t>
  </si>
  <si>
    <r>
      <t>小计</t>
    </r>
    <r>
      <rPr>
        <sz val="10"/>
        <rFont val="Times New Roman"/>
        <family val="1"/>
      </rPr>
      <t>2</t>
    </r>
  </si>
  <si>
    <r>
      <t>合计</t>
    </r>
    <r>
      <rPr>
        <sz val="10"/>
        <rFont val="Times New Roman"/>
        <family val="1"/>
      </rPr>
      <t>=</t>
    </r>
    <r>
      <rPr>
        <sz val="10"/>
        <rFont val="新細明體"/>
        <family val="1"/>
      </rPr>
      <t>小计</t>
    </r>
    <r>
      <rPr>
        <sz val="10"/>
        <rFont val="Times New Roman"/>
        <family val="1"/>
      </rPr>
      <t>1+</t>
    </r>
    <r>
      <rPr>
        <sz val="10"/>
        <rFont val="新細明體"/>
        <family val="1"/>
      </rPr>
      <t>小计</t>
    </r>
    <r>
      <rPr>
        <sz val="10"/>
        <rFont val="Times New Roman"/>
        <family val="1"/>
      </rPr>
      <t>2</t>
    </r>
  </si>
  <si>
    <r>
      <t xml:space="preserve">        2</t>
    </r>
    <r>
      <rPr>
        <sz val="10"/>
        <rFont val="新細明體"/>
        <family val="1"/>
      </rPr>
      <t>、因室外园林设计未确定，未预见用水量按</t>
    </r>
    <r>
      <rPr>
        <sz val="10"/>
        <rFont val="Times New Roman"/>
        <family val="1"/>
      </rPr>
      <t>20%</t>
    </r>
    <r>
      <rPr>
        <sz val="10"/>
        <rFont val="新細明體"/>
        <family val="1"/>
      </rPr>
      <t>确定（正常按</t>
    </r>
    <r>
      <rPr>
        <sz val="10"/>
        <rFont val="Times New Roman"/>
        <family val="1"/>
      </rPr>
      <t>10%~15%</t>
    </r>
    <r>
      <rPr>
        <sz val="10"/>
        <rFont val="新細明體"/>
        <family val="1"/>
      </rPr>
      <t>）。</t>
    </r>
  </si>
  <si>
    <r>
      <t>B2</t>
    </r>
    <r>
      <rPr>
        <sz val="10"/>
        <rFont val="宋体"/>
        <family val="0"/>
      </rPr>
      <t>栋</t>
    </r>
  </si>
  <si>
    <t>商务公寓</t>
  </si>
  <si>
    <t>快餐店顾客</t>
  </si>
  <si>
    <t>餐飲商铺</t>
  </si>
  <si>
    <r>
      <t>排入市政出口</t>
    </r>
    <r>
      <rPr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</si>
</sst>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6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_);[Red]\(0.0\)"/>
    <numFmt numFmtId="195" formatCode="0_ "/>
    <numFmt numFmtId="196" formatCode="0.0_ "/>
    <numFmt numFmtId="197" formatCode="0.00_ "/>
    <numFmt numFmtId="198" formatCode="0.00_);[Red]\(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_);[Red]\(0\)"/>
    <numFmt numFmtId="206" formatCode="0.0000000000000_);[Red]\(0.0000000000000\)"/>
    <numFmt numFmtId="207" formatCode="0.000000000000_);[Red]\(0.000000000000\)"/>
    <numFmt numFmtId="208" formatCode="0.00000000000_);[Red]\(0.00000000000\)"/>
    <numFmt numFmtId="209" formatCode="0.0000000000_);[Red]\(0.0000000000\)"/>
    <numFmt numFmtId="210" formatCode="0.000000000_);[Red]\(0.000000000\)"/>
    <numFmt numFmtId="211" formatCode="0.00000000_);[Red]\(0.00000000\)"/>
    <numFmt numFmtId="212" formatCode="0.0000000_);[Red]\(0.0000000\)"/>
    <numFmt numFmtId="213" formatCode="0.000000_);[Red]\(0.000000\)"/>
    <numFmt numFmtId="214" formatCode="0.00000_);[Red]\(0.00000\)"/>
    <numFmt numFmtId="215" formatCode="0.0000_);[Red]\(0.0000\)"/>
    <numFmt numFmtId="216" formatCode="0.000_);[Red]\(0.000\)"/>
    <numFmt numFmtId="217" formatCode="0.0"/>
    <numFmt numFmtId="218" formatCode="0.00000000000000_ "/>
    <numFmt numFmtId="219" formatCode="0.0000000000000_ "/>
    <numFmt numFmtId="220" formatCode="0.000000000000_ "/>
    <numFmt numFmtId="221" formatCode="0.00000000000_ "/>
    <numFmt numFmtId="222" formatCode="0.0000000000_ "/>
    <numFmt numFmtId="223" formatCode="0.000000000_ "/>
    <numFmt numFmtId="224" formatCode="0.00000000_ "/>
    <numFmt numFmtId="225" formatCode="0.0000000_ "/>
    <numFmt numFmtId="226" formatCode="0.000000_ "/>
    <numFmt numFmtId="227" formatCode="0.00000_ "/>
    <numFmt numFmtId="228" formatCode="0.0000_ "/>
    <numFmt numFmtId="229" formatCode="0.000_ "/>
    <numFmt numFmtId="230" formatCode="0.00000000000000_);[Red]\(0.00000000000000\)"/>
  </numFmts>
  <fonts count="2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perscript"/>
      <sz val="12"/>
      <name val="Times New Roman"/>
      <family val="1"/>
    </font>
    <font>
      <vertAlign val="superscript"/>
      <sz val="10"/>
      <name val="新細明體"/>
      <family val="1"/>
    </font>
    <font>
      <sz val="10"/>
      <name val="Times New Roman"/>
      <family val="1"/>
    </font>
    <font>
      <u val="single"/>
      <sz val="14"/>
      <name val="新細明體"/>
      <family val="1"/>
    </font>
    <font>
      <sz val="14"/>
      <name val="新細明體"/>
      <family val="1"/>
    </font>
    <font>
      <u val="single"/>
      <sz val="14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宋体"/>
      <family val="0"/>
    </font>
    <font>
      <u val="single"/>
      <sz val="16"/>
      <name val="新細明體"/>
      <family val="1"/>
    </font>
    <font>
      <sz val="12"/>
      <name val="宋体"/>
      <family val="0"/>
    </font>
    <font>
      <sz val="10"/>
      <color indexed="10"/>
      <name val="新細明體"/>
      <family val="1"/>
    </font>
    <font>
      <u val="single"/>
      <sz val="14"/>
      <name val="宋体"/>
      <family val="0"/>
    </font>
    <font>
      <b/>
      <sz val="10"/>
      <name val="新細明體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b/>
      <sz val="10"/>
      <name val="宋体"/>
      <family val="0"/>
    </font>
    <font>
      <vertAlign val="subscript"/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7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194" fontId="3" fillId="0" borderId="1" xfId="21" applyNumberFormat="1" applyFont="1" applyBorder="1" applyAlignment="1">
      <alignment horizontal="center" vertical="center"/>
      <protection/>
    </xf>
    <xf numFmtId="194" fontId="3" fillId="0" borderId="2" xfId="21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3" xfId="21" applyFont="1" applyBorder="1" applyAlignment="1">
      <alignment horizontal="center" vertical="center"/>
      <protection/>
    </xf>
    <xf numFmtId="0" fontId="3" fillId="0" borderId="1" xfId="21" applyFont="1" applyBorder="1" applyAlignment="1" applyProtection="1">
      <alignment horizontal="center" vertical="center" wrapText="1"/>
      <protection locked="0"/>
    </xf>
    <xf numFmtId="0" fontId="3" fillId="0" borderId="2" xfId="21" applyFont="1" applyBorder="1" applyAlignment="1">
      <alignment horizontal="center" vertical="center"/>
      <protection/>
    </xf>
    <xf numFmtId="0" fontId="3" fillId="0" borderId="4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Border="1" applyAlignment="1" applyProtection="1">
      <alignment horizontal="center" vertical="center" wrapText="1"/>
      <protection locked="0"/>
    </xf>
    <xf numFmtId="205" fontId="3" fillId="0" borderId="2" xfId="21" applyNumberFormat="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2" fontId="3" fillId="0" borderId="1" xfId="0" applyNumberFormat="1" applyFont="1" applyBorder="1" applyAlignment="1">
      <alignment horizontal="center" vertical="center"/>
    </xf>
    <xf numFmtId="0" fontId="3" fillId="0" borderId="5" xfId="21" applyFont="1" applyBorder="1" applyAlignment="1" applyProtection="1">
      <alignment horizontal="center" vertical="center" wrapText="1"/>
      <protection locked="0"/>
    </xf>
    <xf numFmtId="0" fontId="3" fillId="0" borderId="6" xfId="21" applyFont="1" applyBorder="1" applyAlignment="1" applyProtection="1">
      <alignment horizontal="center" vertical="center" wrapText="1"/>
      <protection locked="0"/>
    </xf>
    <xf numFmtId="205" fontId="3" fillId="0" borderId="1" xfId="21" applyNumberFormat="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194" fontId="10" fillId="0" borderId="1" xfId="2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/>
    </xf>
    <xf numFmtId="0" fontId="3" fillId="0" borderId="7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194" fontId="3" fillId="0" borderId="12" xfId="21" applyNumberFormat="1" applyFont="1" applyBorder="1" applyAlignment="1">
      <alignment horizontal="center" vertical="center"/>
      <protection/>
    </xf>
    <xf numFmtId="194" fontId="10" fillId="0" borderId="12" xfId="21" applyNumberFormat="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205" fontId="3" fillId="0" borderId="14" xfId="21" applyNumberFormat="1" applyFont="1" applyBorder="1" applyAlignment="1">
      <alignment horizontal="center" vertical="center"/>
      <protection/>
    </xf>
    <xf numFmtId="194" fontId="3" fillId="0" borderId="14" xfId="21" applyNumberFormat="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94" fontId="3" fillId="0" borderId="14" xfId="0" applyNumberFormat="1" applyFont="1" applyBorder="1" applyAlignment="1">
      <alignment horizontal="center" vertical="center"/>
    </xf>
    <xf numFmtId="194" fontId="3" fillId="0" borderId="12" xfId="0" applyNumberFormat="1" applyFont="1" applyBorder="1" applyAlignment="1">
      <alignment horizontal="center" vertical="center"/>
    </xf>
    <xf numFmtId="194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02" fontId="3" fillId="0" borderId="1" xfId="0" applyNumberFormat="1" applyFont="1" applyBorder="1" applyAlignment="1">
      <alignment horizontal="center" vertical="center" wrapText="1"/>
    </xf>
    <xf numFmtId="204" fontId="3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02" fontId="3" fillId="0" borderId="14" xfId="0" applyNumberFormat="1" applyFont="1" applyBorder="1" applyAlignment="1">
      <alignment horizontal="center" vertical="center" wrapText="1"/>
    </xf>
    <xf numFmtId="20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17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98" fontId="3" fillId="0" borderId="12" xfId="0" applyNumberFormat="1" applyFont="1" applyBorder="1" applyAlignment="1">
      <alignment horizontal="center" vertical="center"/>
    </xf>
    <xf numFmtId="198" fontId="3" fillId="0" borderId="1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96" fontId="3" fillId="0" borderId="12" xfId="21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03" fontId="3" fillId="0" borderId="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03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94" fontId="10" fillId="0" borderId="1" xfId="0" applyNumberFormat="1" applyFont="1" applyBorder="1" applyAlignment="1">
      <alignment horizontal="center" vertical="center"/>
    </xf>
    <xf numFmtId="194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17" fontId="3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17" fontId="3" fillId="0" borderId="16" xfId="0" applyNumberFormat="1" applyFont="1" applyBorder="1" applyAlignment="1">
      <alignment horizontal="center" vertical="center"/>
    </xf>
    <xf numFmtId="217" fontId="3" fillId="0" borderId="2" xfId="0" applyNumberFormat="1" applyFont="1" applyBorder="1" applyAlignment="1">
      <alignment horizontal="center" vertical="center" wrapText="1"/>
    </xf>
    <xf numFmtId="217" fontId="3" fillId="0" borderId="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1" fillId="0" borderId="2" xfId="21" applyFont="1" applyBorder="1" applyAlignment="1">
      <alignment horizontal="center" vertical="center"/>
      <protection/>
    </xf>
    <xf numFmtId="198" fontId="21" fillId="0" borderId="1" xfId="21" applyNumberFormat="1" applyFont="1" applyBorder="1" applyAlignment="1">
      <alignment horizontal="center" vertical="center"/>
      <protection/>
    </xf>
    <xf numFmtId="194" fontId="21" fillId="0" borderId="1" xfId="21" applyNumberFormat="1" applyFont="1" applyBorder="1" applyAlignment="1">
      <alignment horizontal="center" vertical="center"/>
      <protection/>
    </xf>
    <xf numFmtId="194" fontId="21" fillId="0" borderId="14" xfId="21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3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98" fontId="0" fillId="0" borderId="14" xfId="0" applyNumberFormat="1" applyBorder="1" applyAlignment="1">
      <alignment horizontal="center" vertical="center"/>
    </xf>
    <xf numFmtId="204" fontId="0" fillId="0" borderId="1" xfId="0" applyNumberFormat="1" applyBorder="1" applyAlignment="1">
      <alignment horizontal="center" vertical="center"/>
    </xf>
    <xf numFmtId="0" fontId="10" fillId="0" borderId="4" xfId="21" applyFont="1" applyBorder="1" applyAlignment="1" applyProtection="1">
      <alignment horizontal="center" vertical="center" wrapText="1"/>
      <protection locked="0"/>
    </xf>
    <xf numFmtId="198" fontId="24" fillId="0" borderId="1" xfId="21" applyNumberFormat="1" applyFont="1" applyBorder="1" applyAlignment="1">
      <alignment horizontal="center" vertical="center"/>
      <protection/>
    </xf>
    <xf numFmtId="194" fontId="21" fillId="0" borderId="16" xfId="21" applyNumberFormat="1" applyFont="1" applyBorder="1" applyAlignment="1">
      <alignment horizontal="center" vertical="center"/>
      <protection/>
    </xf>
    <xf numFmtId="0" fontId="10" fillId="0" borderId="1" xfId="21" applyFont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8" xfId="21" applyFont="1" applyBorder="1" applyAlignment="1" applyProtection="1">
      <alignment horizontal="center" vertical="center" wrapText="1"/>
      <protection locked="0"/>
    </xf>
    <xf numFmtId="0" fontId="3" fillId="0" borderId="14" xfId="21" applyFont="1" applyBorder="1" applyAlignment="1" applyProtection="1">
      <alignment horizontal="center" vertical="center" wrapText="1"/>
      <protection locked="0"/>
    </xf>
    <xf numFmtId="0" fontId="3" fillId="0" borderId="9" xfId="21" applyFont="1" applyBorder="1" applyAlignment="1" applyProtection="1">
      <alignment horizontal="center" vertical="center"/>
      <protection locked="0"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 applyProtection="1">
      <alignment horizontal="center" vertical="center"/>
      <protection locked="0"/>
    </xf>
    <xf numFmtId="0" fontId="3" fillId="0" borderId="7" xfId="21" applyFont="1" applyBorder="1" applyAlignment="1" applyProtection="1">
      <alignment horizontal="center" vertical="center"/>
      <protection locked="0"/>
    </xf>
    <xf numFmtId="0" fontId="3" fillId="0" borderId="3" xfId="21" applyFont="1" applyBorder="1" applyAlignment="1" applyProtection="1">
      <alignment horizontal="center" vertical="center"/>
      <protection locked="0"/>
    </xf>
    <xf numFmtId="0" fontId="3" fillId="0" borderId="29" xfId="21" applyFont="1" applyBorder="1" applyAlignment="1" applyProtection="1">
      <alignment horizontal="center" vertical="center" wrapText="1"/>
      <protection locked="0"/>
    </xf>
    <xf numFmtId="0" fontId="3" fillId="0" borderId="11" xfId="21" applyFont="1" applyBorder="1" applyAlignment="1" applyProtection="1">
      <alignment horizontal="center" vertical="center" wrapText="1"/>
      <protection locked="0"/>
    </xf>
    <xf numFmtId="2" fontId="3" fillId="0" borderId="1" xfId="21" applyNumberFormat="1" applyFont="1" applyBorder="1" applyAlignment="1">
      <alignment horizontal="center" vertical="center"/>
      <protection/>
    </xf>
    <xf numFmtId="198" fontId="3" fillId="0" borderId="1" xfId="21" applyNumberFormat="1" applyFont="1" applyBorder="1" applyAlignment="1">
      <alignment horizontal="center" vertical="center"/>
      <protection/>
    </xf>
    <xf numFmtId="2" fontId="3" fillId="0" borderId="12" xfId="21" applyNumberFormat="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2" fontId="3" fillId="0" borderId="14" xfId="21" applyNumberFormat="1" applyFont="1" applyBorder="1" applyAlignment="1">
      <alignment horizontal="center" vertical="center"/>
      <protection/>
    </xf>
    <xf numFmtId="198" fontId="3" fillId="0" borderId="14" xfId="21" applyNumberFormat="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16" fillId="0" borderId="1" xfId="21" applyFont="1" applyBorder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3" fillId="0" borderId="6" xfId="23" applyFont="1" applyBorder="1" applyAlignment="1" applyProtection="1">
      <alignment horizontal="center" vertical="center" wrapText="1"/>
      <protection locked="0"/>
    </xf>
    <xf numFmtId="0" fontId="3" fillId="0" borderId="1" xfId="23" applyFont="1" applyBorder="1" applyAlignment="1" applyProtection="1">
      <alignment horizontal="center" vertical="center" wrapText="1"/>
      <protection locked="0"/>
    </xf>
    <xf numFmtId="0" fontId="3" fillId="0" borderId="5" xfId="23" applyFont="1" applyBorder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/>
      <protection locked="0"/>
    </xf>
    <xf numFmtId="0" fontId="3" fillId="0" borderId="0" xfId="23" applyFont="1" applyAlignment="1">
      <alignment horizontal="center" vertical="center"/>
      <protection/>
    </xf>
    <xf numFmtId="0" fontId="3" fillId="0" borderId="7" xfId="23" applyFont="1" applyBorder="1" applyAlignment="1" applyProtection="1">
      <alignment horizontal="center" vertical="center"/>
      <protection locked="0"/>
    </xf>
    <xf numFmtId="0" fontId="3" fillId="0" borderId="3" xfId="23" applyFont="1" applyBorder="1" applyAlignment="1" applyProtection="1">
      <alignment horizontal="center" vertical="center"/>
      <protection locked="0"/>
    </xf>
    <xf numFmtId="0" fontId="3" fillId="0" borderId="2" xfId="23" applyFont="1" applyFill="1" applyBorder="1" applyAlignment="1" applyProtection="1">
      <alignment horizontal="center" vertical="center" wrapText="1"/>
      <protection locked="0"/>
    </xf>
    <xf numFmtId="0" fontId="3" fillId="0" borderId="29" xfId="23" applyFont="1" applyBorder="1" applyAlignment="1" applyProtection="1">
      <alignment horizontal="center" vertical="center" wrapText="1"/>
      <protection locked="0"/>
    </xf>
    <xf numFmtId="0" fontId="3" fillId="0" borderId="2" xfId="23" applyFont="1" applyBorder="1" applyAlignment="1" applyProtection="1">
      <alignment horizontal="center" vertical="center" wrapText="1"/>
      <protection locked="0"/>
    </xf>
    <xf numFmtId="0" fontId="3" fillId="0" borderId="11" xfId="23" applyFont="1" applyBorder="1" applyAlignment="1" applyProtection="1">
      <alignment horizontal="center" vertical="center" wrapText="1"/>
      <protection locked="0"/>
    </xf>
    <xf numFmtId="205" fontId="3" fillId="0" borderId="2" xfId="23" applyNumberFormat="1" applyFont="1" applyBorder="1" applyAlignment="1">
      <alignment horizontal="center" vertical="center"/>
      <protection/>
    </xf>
    <xf numFmtId="194" fontId="3" fillId="0" borderId="1" xfId="23" applyNumberFormat="1" applyFont="1" applyBorder="1" applyAlignment="1">
      <alignment horizontal="center" vertical="center"/>
      <protection/>
    </xf>
    <xf numFmtId="0" fontId="3" fillId="0" borderId="2" xfId="23" applyFont="1" applyBorder="1" applyAlignment="1">
      <alignment horizontal="center" vertical="center"/>
      <protection/>
    </xf>
    <xf numFmtId="2" fontId="3" fillId="0" borderId="1" xfId="23" applyNumberFormat="1" applyFont="1" applyBorder="1" applyAlignment="1">
      <alignment horizontal="center" vertical="center"/>
      <protection/>
    </xf>
    <xf numFmtId="205" fontId="3" fillId="0" borderId="1" xfId="23" applyNumberFormat="1" applyFont="1" applyBorder="1" applyAlignment="1">
      <alignment horizontal="center" vertical="center"/>
      <protection/>
    </xf>
    <xf numFmtId="198" fontId="3" fillId="0" borderId="1" xfId="23" applyNumberFormat="1" applyFont="1" applyBorder="1" applyAlignment="1">
      <alignment horizontal="center" vertical="center"/>
      <protection/>
    </xf>
    <xf numFmtId="2" fontId="3" fillId="0" borderId="12" xfId="23" applyNumberFormat="1" applyFont="1" applyBorder="1" applyAlignment="1">
      <alignment horizontal="center" vertical="center"/>
      <protection/>
    </xf>
    <xf numFmtId="0" fontId="10" fillId="0" borderId="1" xfId="23" applyFont="1" applyBorder="1" applyAlignment="1" applyProtection="1">
      <alignment horizontal="center" vertical="center" wrapText="1"/>
      <protection locked="0"/>
    </xf>
    <xf numFmtId="0" fontId="3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 applyProtection="1">
      <alignment horizontal="center" vertical="center" wrapText="1"/>
      <protection locked="0"/>
    </xf>
    <xf numFmtId="205" fontId="3" fillId="0" borderId="21" xfId="23" applyNumberFormat="1" applyFont="1" applyBorder="1" applyAlignment="1">
      <alignment horizontal="center" vertical="center"/>
      <protection/>
    </xf>
    <xf numFmtId="205" fontId="3" fillId="0" borderId="3" xfId="23" applyNumberFormat="1" applyFont="1" applyBorder="1" applyAlignment="1">
      <alignment horizontal="center" vertical="center"/>
      <protection/>
    </xf>
    <xf numFmtId="194" fontId="3" fillId="0" borderId="21" xfId="23" applyNumberFormat="1" applyFont="1" applyBorder="1" applyAlignment="1">
      <alignment horizontal="center" vertical="center"/>
      <protection/>
    </xf>
    <xf numFmtId="0" fontId="3" fillId="0" borderId="21" xfId="23" applyFont="1" applyBorder="1" applyAlignment="1">
      <alignment horizontal="center" vertical="center"/>
      <protection/>
    </xf>
    <xf numFmtId="2" fontId="3" fillId="0" borderId="21" xfId="23" applyNumberFormat="1" applyFont="1" applyBorder="1" applyAlignment="1">
      <alignment horizontal="center" vertical="center"/>
      <protection/>
    </xf>
    <xf numFmtId="198" fontId="3" fillId="0" borderId="21" xfId="23" applyNumberFormat="1" applyFont="1" applyBorder="1" applyAlignment="1">
      <alignment horizontal="center" vertical="center"/>
      <protection/>
    </xf>
    <xf numFmtId="2" fontId="3" fillId="0" borderId="33" xfId="23" applyNumberFormat="1" applyFont="1" applyBorder="1" applyAlignment="1">
      <alignment horizontal="center" vertical="center"/>
      <protection/>
    </xf>
    <xf numFmtId="205" fontId="3" fillId="0" borderId="14" xfId="23" applyNumberFormat="1" applyFont="1" applyBorder="1" applyAlignment="1">
      <alignment horizontal="center" vertical="center"/>
      <protection/>
    </xf>
    <xf numFmtId="194" fontId="3" fillId="0" borderId="14" xfId="23" applyNumberFormat="1" applyFont="1" applyBorder="1" applyAlignment="1">
      <alignment horizontal="center" vertical="center"/>
      <protection/>
    </xf>
    <xf numFmtId="0" fontId="3" fillId="0" borderId="14" xfId="23" applyFont="1" applyBorder="1" applyAlignment="1">
      <alignment horizontal="center" vertical="center"/>
      <protection/>
    </xf>
    <xf numFmtId="2" fontId="3" fillId="0" borderId="14" xfId="23" applyNumberFormat="1" applyFont="1" applyBorder="1" applyAlignment="1">
      <alignment horizontal="center" vertical="center"/>
      <protection/>
    </xf>
    <xf numFmtId="198" fontId="3" fillId="0" borderId="14" xfId="23" applyNumberFormat="1" applyFont="1" applyBorder="1" applyAlignment="1">
      <alignment horizontal="center" vertical="center"/>
      <protection/>
    </xf>
    <xf numFmtId="1" fontId="3" fillId="0" borderId="16" xfId="23" applyNumberFormat="1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205" fontId="3" fillId="0" borderId="34" xfId="21" applyNumberFormat="1" applyFont="1" applyBorder="1" applyAlignment="1">
      <alignment horizontal="center" vertical="center"/>
      <protection/>
    </xf>
    <xf numFmtId="2" fontId="3" fillId="0" borderId="0" xfId="0" applyNumberFormat="1" applyFont="1" applyAlignment="1">
      <alignment horizontal="center" vertical="center"/>
    </xf>
    <xf numFmtId="205" fontId="3" fillId="0" borderId="0" xfId="0" applyNumberFormat="1" applyFont="1" applyAlignment="1">
      <alignment horizontal="center" vertical="center"/>
    </xf>
    <xf numFmtId="2" fontId="10" fillId="0" borderId="16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194" fontId="3" fillId="0" borderId="19" xfId="21" applyNumberFormat="1" applyFont="1" applyBorder="1" applyAlignment="1">
      <alignment horizontal="center" vertical="center"/>
      <protection/>
    </xf>
    <xf numFmtId="0" fontId="3" fillId="0" borderId="7" xfId="21" applyFont="1" applyBorder="1" applyAlignment="1" applyProtection="1">
      <alignment horizontal="center" vertical="center" wrapText="1"/>
      <protection locked="0"/>
    </xf>
    <xf numFmtId="194" fontId="3" fillId="0" borderId="8" xfId="21" applyNumberFormat="1" applyFont="1" applyBorder="1" applyAlignment="1">
      <alignment horizontal="center" vertical="center"/>
      <protection/>
    </xf>
    <xf numFmtId="194" fontId="3" fillId="0" borderId="4" xfId="21" applyNumberFormat="1" applyFont="1" applyBorder="1" applyAlignment="1">
      <alignment horizontal="center" vertical="center"/>
      <protection/>
    </xf>
    <xf numFmtId="0" fontId="3" fillId="0" borderId="2" xfId="21" applyFont="1" applyBorder="1" applyAlignment="1" applyProtection="1">
      <alignment horizontal="center" vertical="center"/>
      <protection locked="0"/>
    </xf>
    <xf numFmtId="0" fontId="3" fillId="0" borderId="11" xfId="2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98" fontId="3" fillId="0" borderId="0" xfId="21" applyNumberFormat="1" applyFont="1" applyBorder="1" applyAlignment="1">
      <alignment horizontal="center" vertical="center"/>
      <protection/>
    </xf>
    <xf numFmtId="194" fontId="3" fillId="0" borderId="0" xfId="21" applyNumberFormat="1" applyFont="1" applyBorder="1" applyAlignment="1">
      <alignment horizontal="center" vertical="center"/>
      <protection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0" xfId="24" applyFont="1" applyBorder="1" applyAlignment="1">
      <alignment horizontal="left" vertical="center"/>
      <protection/>
    </xf>
    <xf numFmtId="0" fontId="3" fillId="0" borderId="0" xfId="24" applyFont="1" applyAlignment="1">
      <alignment horizontal="center" vertical="center"/>
      <protection/>
    </xf>
    <xf numFmtId="194" fontId="3" fillId="0" borderId="19" xfId="24" applyNumberFormat="1" applyFont="1" applyBorder="1" applyAlignment="1">
      <alignment horizontal="center" vertical="center"/>
      <protection/>
    </xf>
    <xf numFmtId="0" fontId="3" fillId="0" borderId="7" xfId="24" applyFont="1" applyBorder="1" applyAlignment="1" applyProtection="1">
      <alignment horizontal="center" vertical="center"/>
      <protection locked="0"/>
    </xf>
    <xf numFmtId="0" fontId="3" fillId="0" borderId="7" xfId="24" applyFont="1" applyBorder="1" applyAlignment="1" applyProtection="1">
      <alignment horizontal="center" vertical="center" wrapText="1"/>
      <protection locked="0"/>
    </xf>
    <xf numFmtId="194" fontId="3" fillId="0" borderId="31" xfId="24" applyNumberFormat="1" applyFont="1" applyBorder="1" applyAlignment="1">
      <alignment horizontal="center" vertical="center"/>
      <protection/>
    </xf>
    <xf numFmtId="0" fontId="10" fillId="0" borderId="7" xfId="0" applyFont="1" applyBorder="1" applyAlignment="1">
      <alignment horizontal="center" vertical="center"/>
    </xf>
    <xf numFmtId="194" fontId="16" fillId="0" borderId="20" xfId="24" applyNumberFormat="1" applyFont="1" applyBorder="1" applyAlignment="1">
      <alignment horizontal="center" vertical="center"/>
      <protection/>
    </xf>
    <xf numFmtId="194" fontId="3" fillId="0" borderId="20" xfId="24" applyNumberFormat="1" applyFont="1" applyBorder="1" applyAlignment="1">
      <alignment horizontal="center" vertical="center"/>
      <protection/>
    </xf>
    <xf numFmtId="0" fontId="10" fillId="0" borderId="3" xfId="24" applyFont="1" applyBorder="1" applyAlignment="1" applyProtection="1">
      <alignment horizontal="center" vertical="center"/>
      <protection locked="0"/>
    </xf>
    <xf numFmtId="0" fontId="3" fillId="0" borderId="3" xfId="24" applyFont="1" applyBorder="1" applyAlignment="1" applyProtection="1">
      <alignment horizontal="center" vertical="center"/>
      <protection locked="0"/>
    </xf>
    <xf numFmtId="0" fontId="3" fillId="0" borderId="3" xfId="24" applyFont="1" applyBorder="1" applyAlignment="1" applyProtection="1">
      <alignment horizontal="center" vertical="center" wrapText="1"/>
      <protection locked="0"/>
    </xf>
    <xf numFmtId="194" fontId="3" fillId="0" borderId="32" xfId="24" applyNumberFormat="1" applyFont="1" applyBorder="1" applyAlignment="1">
      <alignment horizontal="center" vertical="center"/>
      <protection/>
    </xf>
    <xf numFmtId="0" fontId="10" fillId="0" borderId="3" xfId="0" applyFont="1" applyBorder="1" applyAlignment="1">
      <alignment horizontal="center" vertical="center"/>
    </xf>
    <xf numFmtId="194" fontId="3" fillId="0" borderId="4" xfId="24" applyNumberFormat="1" applyFont="1" applyBorder="1" applyAlignment="1">
      <alignment horizontal="center" vertical="center"/>
      <protection/>
    </xf>
    <xf numFmtId="194" fontId="10" fillId="0" borderId="4" xfId="24" applyNumberFormat="1" applyFont="1" applyBorder="1" applyAlignment="1">
      <alignment horizontal="center" vertical="center"/>
      <protection/>
    </xf>
    <xf numFmtId="0" fontId="3" fillId="0" borderId="2" xfId="24" applyFont="1" applyBorder="1" applyAlignment="1" applyProtection="1">
      <alignment horizontal="center" vertical="center"/>
      <protection locked="0"/>
    </xf>
    <xf numFmtId="0" fontId="3" fillId="0" borderId="2" xfId="24" applyFont="1" applyBorder="1" applyAlignment="1" applyProtection="1">
      <alignment horizontal="center" vertical="center" wrapText="1"/>
      <protection locked="0"/>
    </xf>
    <xf numFmtId="194" fontId="10" fillId="0" borderId="35" xfId="24" applyNumberFormat="1" applyFont="1" applyBorder="1" applyAlignment="1">
      <alignment horizontal="center" vertical="center"/>
      <protection/>
    </xf>
    <xf numFmtId="198" fontId="3" fillId="0" borderId="1" xfId="24" applyNumberFormat="1" applyFont="1" applyBorder="1" applyAlignment="1">
      <alignment horizontal="center" vertical="center"/>
      <protection/>
    </xf>
    <xf numFmtId="194" fontId="3" fillId="0" borderId="1" xfId="24" applyNumberFormat="1" applyFont="1" applyBorder="1" applyAlignment="1">
      <alignment horizontal="center" vertical="center"/>
      <protection/>
    </xf>
    <xf numFmtId="0" fontId="3" fillId="0" borderId="1" xfId="24" applyFont="1" applyBorder="1" applyAlignment="1" applyProtection="1">
      <alignment horizontal="center" vertical="center" wrapText="1"/>
      <protection locked="0"/>
    </xf>
    <xf numFmtId="2" fontId="3" fillId="0" borderId="1" xfId="24" applyNumberFormat="1" applyFont="1" applyBorder="1" applyAlignment="1" applyProtection="1">
      <alignment horizontal="center" vertical="center" wrapText="1"/>
      <protection locked="0"/>
    </xf>
    <xf numFmtId="198" fontId="3" fillId="0" borderId="12" xfId="24" applyNumberFormat="1" applyFont="1" applyBorder="1" applyAlignment="1">
      <alignment horizontal="center" vertical="center"/>
      <protection/>
    </xf>
    <xf numFmtId="203" fontId="3" fillId="0" borderId="6" xfId="0" applyNumberFormat="1" applyFont="1" applyBorder="1" applyAlignment="1">
      <alignment horizontal="center" vertical="center"/>
    </xf>
    <xf numFmtId="203" fontId="3" fillId="0" borderId="1" xfId="0" applyNumberFormat="1" applyFont="1" applyBorder="1" applyAlignment="1">
      <alignment horizontal="center" vertical="center"/>
    </xf>
    <xf numFmtId="215" fontId="3" fillId="0" borderId="1" xfId="0" applyNumberFormat="1" applyFont="1" applyBorder="1" applyAlignment="1">
      <alignment horizontal="center" vertical="center"/>
    </xf>
    <xf numFmtId="203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28" fontId="10" fillId="0" borderId="1" xfId="0" applyNumberFormat="1" applyFont="1" applyBorder="1" applyAlignment="1">
      <alignment horizontal="center" vertical="center"/>
    </xf>
    <xf numFmtId="197" fontId="10" fillId="0" borderId="1" xfId="0" applyNumberFormat="1" applyFont="1" applyBorder="1" applyAlignment="1">
      <alignment horizontal="center" vertical="center"/>
    </xf>
    <xf numFmtId="197" fontId="10" fillId="0" borderId="12" xfId="0" applyNumberFormat="1" applyFont="1" applyBorder="1" applyAlignment="1">
      <alignment horizontal="center" vertical="center"/>
    </xf>
    <xf numFmtId="198" fontId="3" fillId="0" borderId="14" xfId="24" applyNumberFormat="1" applyFont="1" applyBorder="1" applyAlignment="1">
      <alignment horizontal="center" vertical="center"/>
      <protection/>
    </xf>
    <xf numFmtId="194" fontId="3" fillId="0" borderId="14" xfId="24" applyNumberFormat="1" applyFont="1" applyBorder="1" applyAlignment="1">
      <alignment horizontal="center" vertical="center"/>
      <protection/>
    </xf>
    <xf numFmtId="0" fontId="3" fillId="0" borderId="14" xfId="24" applyFont="1" applyBorder="1" applyAlignment="1" applyProtection="1">
      <alignment horizontal="center" vertical="center" wrapText="1"/>
      <protection locked="0"/>
    </xf>
    <xf numFmtId="2" fontId="3" fillId="0" borderId="14" xfId="24" applyNumberFormat="1" applyFont="1" applyBorder="1" applyAlignment="1" applyProtection="1">
      <alignment horizontal="center" vertical="center" wrapText="1"/>
      <protection locked="0"/>
    </xf>
    <xf numFmtId="198" fontId="3" fillId="0" borderId="16" xfId="24" applyNumberFormat="1" applyFont="1" applyBorder="1" applyAlignment="1">
      <alignment horizontal="center" vertical="center"/>
      <protection/>
    </xf>
    <xf numFmtId="203" fontId="3" fillId="0" borderId="24" xfId="0" applyNumberFormat="1" applyFont="1" applyBorder="1" applyAlignment="1">
      <alignment horizontal="center" vertical="center"/>
    </xf>
    <xf numFmtId="203" fontId="3" fillId="0" borderId="14" xfId="0" applyNumberFormat="1" applyFont="1" applyBorder="1" applyAlignment="1">
      <alignment horizontal="center" vertical="center"/>
    </xf>
    <xf numFmtId="215" fontId="3" fillId="0" borderId="14" xfId="0" applyNumberFormat="1" applyFont="1" applyBorder="1" applyAlignment="1">
      <alignment horizontal="center" vertical="center"/>
    </xf>
    <xf numFmtId="203" fontId="10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28" fontId="10" fillId="0" borderId="14" xfId="0" applyNumberFormat="1" applyFont="1" applyBorder="1" applyAlignment="1">
      <alignment horizontal="center" vertical="center"/>
    </xf>
    <xf numFmtId="197" fontId="10" fillId="0" borderId="14" xfId="0" applyNumberFormat="1" applyFont="1" applyBorder="1" applyAlignment="1">
      <alignment horizontal="center" vertical="center"/>
    </xf>
    <xf numFmtId="197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03" fontId="26" fillId="0" borderId="1" xfId="0" applyNumberFormat="1" applyFont="1" applyBorder="1" applyAlignment="1">
      <alignment horizontal="center" vertical="center"/>
    </xf>
    <xf numFmtId="215" fontId="26" fillId="0" borderId="1" xfId="0" applyNumberFormat="1" applyFont="1" applyBorder="1" applyAlignment="1">
      <alignment horizontal="center" vertical="center"/>
    </xf>
    <xf numFmtId="203" fontId="27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228" fontId="27" fillId="0" borderId="1" xfId="0" applyNumberFormat="1" applyFont="1" applyBorder="1" applyAlignment="1">
      <alignment horizontal="center" vertical="center"/>
    </xf>
    <xf numFmtId="197" fontId="27" fillId="0" borderId="1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203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15" fontId="26" fillId="0" borderId="14" xfId="0" applyNumberFormat="1" applyFont="1" applyBorder="1" applyAlignment="1">
      <alignment horizontal="center" vertical="center"/>
    </xf>
    <xf numFmtId="203" fontId="27" fillId="0" borderId="14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28" fontId="27" fillId="0" borderId="14" xfId="0" applyNumberFormat="1" applyFont="1" applyBorder="1" applyAlignment="1">
      <alignment horizontal="center" vertical="center"/>
    </xf>
    <xf numFmtId="197" fontId="27" fillId="0" borderId="14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3" fillId="0" borderId="15" xfId="21" applyFont="1" applyBorder="1" applyAlignment="1" applyProtection="1">
      <alignment horizontal="center" vertical="center" wrapText="1"/>
      <protection locked="0"/>
    </xf>
    <xf numFmtId="0" fontId="3" fillId="0" borderId="7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21" fillId="0" borderId="2" xfId="23" applyFont="1" applyBorder="1" applyAlignment="1">
      <alignment horizontal="center" vertical="center"/>
      <protection/>
    </xf>
    <xf numFmtId="0" fontId="3" fillId="0" borderId="4" xfId="23" applyFont="1" applyFill="1" applyBorder="1" applyAlignment="1" applyProtection="1">
      <alignment horizontal="center" vertical="center" wrapText="1"/>
      <protection locked="0"/>
    </xf>
    <xf numFmtId="0" fontId="3" fillId="0" borderId="11" xfId="23" applyFont="1" applyBorder="1" applyAlignment="1">
      <alignment horizontal="center" vertical="center"/>
      <protection/>
    </xf>
    <xf numFmtId="198" fontId="21" fillId="0" borderId="1" xfId="23" applyNumberFormat="1" applyFont="1" applyBorder="1" applyAlignment="1">
      <alignment horizontal="center" vertical="center"/>
      <protection/>
    </xf>
    <xf numFmtId="194" fontId="3" fillId="0" borderId="2" xfId="23" applyNumberFormat="1" applyFont="1" applyBorder="1" applyAlignment="1">
      <alignment horizontal="center" vertical="center"/>
      <protection/>
    </xf>
    <xf numFmtId="196" fontId="3" fillId="0" borderId="12" xfId="23" applyNumberFormat="1" applyFont="1" applyBorder="1" applyAlignment="1">
      <alignment horizontal="center" vertical="center"/>
      <protection/>
    </xf>
    <xf numFmtId="194" fontId="3" fillId="0" borderId="12" xfId="23" applyNumberFormat="1" applyFont="1" applyBorder="1" applyAlignment="1">
      <alignment horizontal="center" vertical="center"/>
      <protection/>
    </xf>
    <xf numFmtId="0" fontId="3" fillId="0" borderId="19" xfId="23" applyFont="1" applyFill="1" applyBorder="1" applyAlignment="1" applyProtection="1">
      <alignment horizontal="center" vertical="center" wrapText="1"/>
      <protection locked="0"/>
    </xf>
    <xf numFmtId="0" fontId="3" fillId="0" borderId="20" xfId="23" applyFont="1" applyFill="1" applyBorder="1" applyAlignment="1" applyProtection="1">
      <alignment horizontal="center" vertical="center" wrapText="1"/>
      <protection locked="0"/>
    </xf>
    <xf numFmtId="194" fontId="21" fillId="0" borderId="1" xfId="23" applyNumberFormat="1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/>
      <protection/>
    </xf>
    <xf numFmtId="194" fontId="10" fillId="0" borderId="1" xfId="23" applyNumberFormat="1" applyFont="1" applyBorder="1" applyAlignment="1">
      <alignment horizontal="center" vertical="center"/>
      <protection/>
    </xf>
    <xf numFmtId="194" fontId="10" fillId="0" borderId="12" xfId="23" applyNumberFormat="1" applyFont="1" applyBorder="1" applyAlignment="1">
      <alignment horizontal="center" vertical="center"/>
      <protection/>
    </xf>
    <xf numFmtId="0" fontId="3" fillId="0" borderId="13" xfId="23" applyFont="1" applyBorder="1" applyAlignment="1">
      <alignment horizontal="center" vertical="center"/>
      <protection/>
    </xf>
    <xf numFmtId="194" fontId="21" fillId="0" borderId="14" xfId="23" applyNumberFormat="1" applyFont="1" applyBorder="1" applyAlignment="1">
      <alignment horizontal="center" vertical="center"/>
      <protection/>
    </xf>
    <xf numFmtId="194" fontId="21" fillId="0" borderId="16" xfId="23" applyNumberFormat="1" applyFont="1" applyBorder="1" applyAlignment="1">
      <alignment horizontal="center" vertical="center"/>
      <protection/>
    </xf>
    <xf numFmtId="0" fontId="3" fillId="0" borderId="2" xfId="23" applyFont="1" applyFill="1" applyBorder="1" applyAlignment="1" applyProtection="1">
      <alignment horizontal="center" vertical="center" wrapText="1"/>
      <protection locked="0"/>
    </xf>
    <xf numFmtId="0" fontId="3" fillId="0" borderId="7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3" fillId="0" borderId="2" xfId="23" applyFont="1" applyBorder="1" applyAlignment="1">
      <alignment horizontal="center" vertical="center"/>
      <protection/>
    </xf>
    <xf numFmtId="0" fontId="21" fillId="0" borderId="7" xfId="23" applyFont="1" applyBorder="1" applyAlignment="1">
      <alignment horizontal="center" vertical="center"/>
      <protection/>
    </xf>
    <xf numFmtId="0" fontId="21" fillId="0" borderId="3" xfId="23" applyFont="1" applyBorder="1" applyAlignment="1">
      <alignment horizontal="center" vertical="center"/>
      <protection/>
    </xf>
    <xf numFmtId="205" fontId="3" fillId="0" borderId="6" xfId="21" applyNumberFormat="1" applyFont="1" applyBorder="1" applyAlignment="1" applyProtection="1">
      <alignment horizontal="center" vertical="center" wrapText="1"/>
      <protection locked="0"/>
    </xf>
    <xf numFmtId="0" fontId="3" fillId="0" borderId="36" xfId="23" applyFont="1" applyFill="1" applyBorder="1" applyAlignment="1" applyProtection="1">
      <alignment horizontal="center" vertical="center" wrapText="1"/>
      <protection locked="0"/>
    </xf>
    <xf numFmtId="0" fontId="3" fillId="0" borderId="37" xfId="23" applyFont="1" applyFill="1" applyBorder="1" applyAlignment="1" applyProtection="1">
      <alignment horizontal="center" vertical="center" wrapText="1"/>
      <protection locked="0"/>
    </xf>
    <xf numFmtId="0" fontId="3" fillId="0" borderId="8" xfId="23" applyFont="1" applyFill="1" applyBorder="1" applyAlignment="1" applyProtection="1">
      <alignment horizontal="center" vertical="center" wrapText="1"/>
      <protection locked="0"/>
    </xf>
    <xf numFmtId="0" fontId="3" fillId="0" borderId="1" xfId="23" applyFont="1" applyFill="1" applyBorder="1" applyAlignment="1" applyProtection="1">
      <alignment horizontal="center" vertical="center" wrapText="1"/>
      <protection locked="0"/>
    </xf>
    <xf numFmtId="0" fontId="3" fillId="0" borderId="7" xfId="23" applyFont="1" applyFill="1" applyBorder="1" applyAlignment="1" applyProtection="1">
      <alignment horizontal="center" vertical="center" wrapText="1"/>
      <protection locked="0"/>
    </xf>
    <xf numFmtId="0" fontId="3" fillId="0" borderId="3" xfId="23" applyFont="1" applyFill="1" applyBorder="1" applyAlignment="1" applyProtection="1">
      <alignment horizontal="center" vertical="center" wrapText="1"/>
      <protection locked="0"/>
    </xf>
    <xf numFmtId="0" fontId="3" fillId="0" borderId="5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38" xfId="21" applyFont="1" applyBorder="1" applyAlignment="1">
      <alignment horizontal="left" vertical="center"/>
      <protection/>
    </xf>
    <xf numFmtId="0" fontId="3" fillId="0" borderId="39" xfId="21" applyFont="1" applyBorder="1" applyAlignment="1" applyProtection="1">
      <alignment horizontal="center" vertical="center" wrapText="1"/>
      <protection locked="0"/>
    </xf>
    <xf numFmtId="0" fontId="3" fillId="0" borderId="40" xfId="21" applyFont="1" applyBorder="1" applyAlignment="1" applyProtection="1">
      <alignment horizontal="center" vertical="center" wrapText="1"/>
      <protection locked="0"/>
    </xf>
    <xf numFmtId="0" fontId="3" fillId="0" borderId="24" xfId="21" applyFont="1" applyBorder="1" applyAlignment="1" applyProtection="1">
      <alignment horizontal="center" vertical="center" wrapText="1"/>
      <protection locked="0"/>
    </xf>
    <xf numFmtId="0" fontId="3" fillId="0" borderId="8" xfId="21" applyFont="1" applyBorder="1" applyAlignment="1" applyProtection="1">
      <alignment horizontal="center" vertical="center" wrapText="1"/>
      <protection locked="0"/>
    </xf>
    <xf numFmtId="0" fontId="3" fillId="0" borderId="41" xfId="21" applyFont="1" applyBorder="1" applyAlignment="1" applyProtection="1">
      <alignment horizontal="center" vertical="center" wrapText="1"/>
      <protection locked="0"/>
    </xf>
    <xf numFmtId="0" fontId="11" fillId="0" borderId="30" xfId="23" applyFont="1" applyBorder="1" applyAlignment="1">
      <alignment horizontal="left" vertical="center"/>
      <protection/>
    </xf>
    <xf numFmtId="0" fontId="3" fillId="0" borderId="3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36" xfId="21" applyFont="1" applyFill="1" applyBorder="1" applyAlignment="1" applyProtection="1">
      <alignment horizontal="center" vertical="center" wrapText="1"/>
      <protection locked="0"/>
    </xf>
    <xf numFmtId="0" fontId="3" fillId="0" borderId="37" xfId="21" applyFont="1" applyFill="1" applyBorder="1" applyAlignment="1" applyProtection="1">
      <alignment horizontal="center" vertical="center" wrapText="1"/>
      <protection locked="0"/>
    </xf>
    <xf numFmtId="0" fontId="3" fillId="0" borderId="8" xfId="21" applyFont="1" applyFill="1" applyBorder="1" applyAlignment="1" applyProtection="1">
      <alignment horizontal="center" vertical="center" wrapText="1"/>
      <protection locked="0"/>
    </xf>
    <xf numFmtId="0" fontId="3" fillId="0" borderId="1" xfId="21" applyFont="1" applyFill="1" applyBorder="1" applyAlignment="1" applyProtection="1">
      <alignment horizontal="center" vertical="center" wrapText="1"/>
      <protection locked="0"/>
    </xf>
    <xf numFmtId="0" fontId="3" fillId="0" borderId="42" xfId="21" applyFont="1" applyBorder="1" applyAlignment="1" applyProtection="1">
      <alignment horizontal="center" vertical="center" wrapText="1"/>
      <protection locked="0"/>
    </xf>
    <xf numFmtId="0" fontId="3" fillId="0" borderId="22" xfId="21" applyFont="1" applyBorder="1" applyAlignment="1" applyProtection="1">
      <alignment horizontal="center" vertical="center" wrapText="1"/>
      <protection locked="0"/>
    </xf>
    <xf numFmtId="0" fontId="3" fillId="0" borderId="23" xfId="21" applyFont="1" applyBorder="1" applyAlignment="1" applyProtection="1">
      <alignment horizontal="center" vertical="center" wrapText="1"/>
      <protection locked="0"/>
    </xf>
    <xf numFmtId="0" fontId="3" fillId="0" borderId="41" xfId="21" applyFont="1" applyBorder="1" applyAlignment="1">
      <alignment horizontal="center" vertical="center"/>
      <protection/>
    </xf>
    <xf numFmtId="0" fontId="11" fillId="0" borderId="30" xfId="21" applyFont="1" applyBorder="1" applyAlignment="1">
      <alignment horizontal="left" vertical="center"/>
      <protection/>
    </xf>
    <xf numFmtId="0" fontId="3" fillId="0" borderId="18" xfId="21" applyFont="1" applyBorder="1" applyAlignment="1" applyProtection="1">
      <alignment horizontal="center" vertical="center" wrapText="1"/>
      <protection locked="0"/>
    </xf>
    <xf numFmtId="0" fontId="3" fillId="0" borderId="6" xfId="21" applyFont="1" applyBorder="1" applyAlignment="1" applyProtection="1">
      <alignment horizontal="center" vertical="center" wrapText="1"/>
      <protection locked="0"/>
    </xf>
    <xf numFmtId="0" fontId="3" fillId="0" borderId="1" xfId="21" applyFont="1" applyBorder="1" applyAlignment="1" applyProtection="1">
      <alignment horizontal="center" vertical="center" wrapText="1"/>
      <protection locked="0"/>
    </xf>
    <xf numFmtId="0" fontId="3" fillId="0" borderId="5" xfId="21" applyFont="1" applyBorder="1" applyAlignment="1" applyProtection="1">
      <alignment horizontal="center" vertical="center" wrapText="1"/>
      <protection locked="0"/>
    </xf>
    <xf numFmtId="0" fontId="3" fillId="0" borderId="43" xfId="21" applyFont="1" applyBorder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3" fillId="0" borderId="44" xfId="21" applyFont="1" applyBorder="1" applyAlignment="1" applyProtection="1">
      <alignment horizontal="center" vertical="center" wrapText="1"/>
      <protection locked="0"/>
    </xf>
    <xf numFmtId="0" fontId="3" fillId="0" borderId="45" xfId="21" applyFont="1" applyBorder="1" applyAlignment="1" applyProtection="1">
      <alignment horizontal="center" vertical="center" wrapText="1"/>
      <protection locked="0"/>
    </xf>
    <xf numFmtId="0" fontId="3" fillId="0" borderId="4" xfId="2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19" xfId="21" applyFont="1" applyFill="1" applyBorder="1" applyAlignment="1" applyProtection="1">
      <alignment horizontal="center" vertical="center" wrapText="1"/>
      <protection locked="0"/>
    </xf>
    <xf numFmtId="0" fontId="3" fillId="0" borderId="20" xfId="21" applyFont="1" applyFill="1" applyBorder="1" applyAlignment="1" applyProtection="1">
      <alignment horizontal="center" vertical="center" wrapText="1"/>
      <protection locked="0"/>
    </xf>
    <xf numFmtId="0" fontId="21" fillId="0" borderId="7" xfId="21" applyFont="1" applyBorder="1" applyAlignment="1">
      <alignment horizontal="center" vertical="center"/>
      <protection/>
    </xf>
    <xf numFmtId="0" fontId="21" fillId="0" borderId="3" xfId="21" applyFont="1" applyBorder="1" applyAlignment="1">
      <alignment horizontal="center" vertical="center"/>
      <protection/>
    </xf>
    <xf numFmtId="0" fontId="3" fillId="0" borderId="7" xfId="21" applyFont="1" applyFill="1" applyBorder="1" applyAlignment="1" applyProtection="1">
      <alignment horizontal="center" vertical="center" wrapText="1"/>
      <protection locked="0"/>
    </xf>
    <xf numFmtId="0" fontId="3" fillId="0" borderId="42" xfId="23" applyFont="1" applyBorder="1" applyAlignment="1" applyProtection="1">
      <alignment horizontal="center" vertical="center" wrapText="1"/>
      <protection locked="0"/>
    </xf>
    <xf numFmtId="0" fontId="3" fillId="0" borderId="22" xfId="23" applyFont="1" applyBorder="1" applyAlignment="1" applyProtection="1">
      <alignment horizontal="center" vertical="center" wrapText="1"/>
      <protection locked="0"/>
    </xf>
    <xf numFmtId="0" fontId="3" fillId="0" borderId="23" xfId="23" applyFont="1" applyBorder="1" applyAlignment="1" applyProtection="1">
      <alignment horizontal="center" vertical="center" wrapText="1"/>
      <protection locked="0"/>
    </xf>
    <xf numFmtId="0" fontId="3" fillId="0" borderId="18" xfId="23" applyFont="1" applyBorder="1" applyAlignment="1" applyProtection="1">
      <alignment horizontal="center" vertical="center" wrapText="1"/>
      <protection locked="0"/>
    </xf>
    <xf numFmtId="0" fontId="3" fillId="0" borderId="5" xfId="23" applyFont="1" applyBorder="1" applyAlignment="1" applyProtection="1">
      <alignment horizontal="center" vertical="center" wrapText="1"/>
      <protection locked="0"/>
    </xf>
    <xf numFmtId="0" fontId="3" fillId="0" borderId="6" xfId="23" applyFont="1" applyBorder="1" applyAlignment="1" applyProtection="1">
      <alignment horizontal="center" vertical="center" wrapText="1"/>
      <protection locked="0"/>
    </xf>
    <xf numFmtId="0" fontId="3" fillId="0" borderId="1" xfId="23" applyFont="1" applyBorder="1" applyAlignment="1" applyProtection="1">
      <alignment horizontal="center" vertical="center" wrapText="1"/>
      <protection locked="0"/>
    </xf>
    <xf numFmtId="0" fontId="3" fillId="0" borderId="44" xfId="23" applyFont="1" applyBorder="1" applyAlignment="1" applyProtection="1">
      <alignment horizontal="center" vertical="center" wrapText="1"/>
      <protection locked="0"/>
    </xf>
    <xf numFmtId="0" fontId="3" fillId="0" borderId="4" xfId="23" applyFont="1" applyBorder="1" applyAlignment="1" applyProtection="1">
      <alignment horizontal="center" vertical="center" wrapText="1"/>
      <protection locked="0"/>
    </xf>
    <xf numFmtId="0" fontId="3" fillId="0" borderId="45" xfId="23" applyFont="1" applyBorder="1" applyAlignment="1" applyProtection="1">
      <alignment horizontal="center" vertical="center" wrapText="1"/>
      <protection locked="0"/>
    </xf>
    <xf numFmtId="0" fontId="3" fillId="0" borderId="41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39" xfId="23" applyFont="1" applyBorder="1" applyAlignment="1" applyProtection="1">
      <alignment horizontal="center" vertical="center" wrapText="1"/>
      <protection locked="0"/>
    </xf>
    <xf numFmtId="0" fontId="3" fillId="0" borderId="40" xfId="23" applyFont="1" applyBorder="1" applyAlignment="1" applyProtection="1">
      <alignment horizontal="center" vertical="center" wrapText="1"/>
      <protection locked="0"/>
    </xf>
    <xf numFmtId="0" fontId="3" fillId="0" borderId="24" xfId="23" applyFont="1" applyBorder="1" applyAlignment="1" applyProtection="1">
      <alignment horizontal="center" vertical="center" wrapText="1"/>
      <protection locked="0"/>
    </xf>
    <xf numFmtId="0" fontId="3" fillId="0" borderId="38" xfId="23" applyFont="1" applyBorder="1" applyAlignment="1">
      <alignment horizontal="left" vertical="center"/>
      <protection/>
    </xf>
    <xf numFmtId="0" fontId="3" fillId="0" borderId="9" xfId="21" applyFont="1" applyBorder="1" applyAlignment="1" applyProtection="1">
      <alignment horizontal="center" vertical="center"/>
      <protection locked="0"/>
    </xf>
    <xf numFmtId="0" fontId="3" fillId="0" borderId="10" xfId="21" applyFont="1" applyBorder="1" applyAlignment="1" applyProtection="1">
      <alignment horizontal="center" vertical="center"/>
      <protection locked="0"/>
    </xf>
    <xf numFmtId="0" fontId="3" fillId="0" borderId="46" xfId="21" applyFont="1" applyBorder="1" applyAlignment="1" applyProtection="1">
      <alignment horizontal="center" vertical="center" wrapText="1"/>
      <protection locked="0"/>
    </xf>
    <xf numFmtId="0" fontId="3" fillId="0" borderId="13" xfId="21" applyFont="1" applyBorder="1" applyAlignment="1" applyProtection="1">
      <alignment horizontal="center" vertical="center" wrapText="1"/>
      <protection locked="0"/>
    </xf>
    <xf numFmtId="0" fontId="3" fillId="0" borderId="9" xfId="23" applyFont="1" applyBorder="1" applyAlignment="1" applyProtection="1">
      <alignment horizontal="center" vertical="center"/>
      <protection locked="0"/>
    </xf>
    <xf numFmtId="0" fontId="3" fillId="0" borderId="10" xfId="23" applyFont="1" applyBorder="1" applyAlignment="1" applyProtection="1">
      <alignment horizontal="center" vertical="center"/>
      <protection locked="0"/>
    </xf>
    <xf numFmtId="0" fontId="3" fillId="0" borderId="46" xfId="23" applyFont="1" applyBorder="1" applyAlignment="1" applyProtection="1">
      <alignment horizontal="center" vertical="center" wrapText="1"/>
      <protection locked="0"/>
    </xf>
    <xf numFmtId="0" fontId="16" fillId="0" borderId="14" xfId="23" applyFont="1" applyBorder="1" applyAlignment="1" applyProtection="1">
      <alignment horizontal="center" vertical="center" wrapText="1"/>
      <protection locked="0"/>
    </xf>
    <xf numFmtId="0" fontId="3" fillId="0" borderId="14" xfId="23" applyFont="1" applyBorder="1" applyAlignment="1" applyProtection="1">
      <alignment horizontal="center" vertical="center" wrapText="1"/>
      <protection locked="0"/>
    </xf>
    <xf numFmtId="194" fontId="3" fillId="0" borderId="36" xfId="21" applyNumberFormat="1" applyFont="1" applyBorder="1" applyAlignment="1">
      <alignment horizontal="center" vertical="center"/>
      <protection/>
    </xf>
    <xf numFmtId="194" fontId="3" fillId="0" borderId="37" xfId="21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left" vertical="center"/>
    </xf>
    <xf numFmtId="0" fontId="3" fillId="0" borderId="23" xfId="24" applyFont="1" applyBorder="1" applyAlignment="1" applyProtection="1">
      <alignment horizontal="center" vertical="center" wrapText="1"/>
      <protection locked="0"/>
    </xf>
    <xf numFmtId="0" fontId="3" fillId="0" borderId="42" xfId="24" applyFont="1" applyBorder="1" applyAlignment="1" applyProtection="1">
      <alignment horizontal="center" vertical="center" wrapText="1"/>
      <protection locked="0"/>
    </xf>
    <xf numFmtId="0" fontId="3" fillId="0" borderId="15" xfId="24" applyFont="1" applyBorder="1" applyAlignment="1" applyProtection="1">
      <alignment horizontal="center" vertical="center" wrapText="1"/>
      <protection locked="0"/>
    </xf>
    <xf numFmtId="0" fontId="11" fillId="0" borderId="30" xfId="24" applyFont="1" applyBorder="1" applyAlignment="1">
      <alignment horizontal="left" vertical="center"/>
      <protection/>
    </xf>
    <xf numFmtId="194" fontId="3" fillId="0" borderId="25" xfId="24" applyNumberFormat="1" applyFont="1" applyBorder="1" applyAlignment="1">
      <alignment horizontal="center" vertical="center"/>
      <protection/>
    </xf>
    <xf numFmtId="194" fontId="3" fillId="0" borderId="19" xfId="24" applyNumberFormat="1" applyFont="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94" fontId="16" fillId="0" borderId="27" xfId="24" applyNumberFormat="1" applyFont="1" applyBorder="1" applyAlignment="1">
      <alignment horizontal="center" vertical="center"/>
      <protection/>
    </xf>
    <xf numFmtId="194" fontId="16" fillId="0" borderId="20" xfId="24" applyNumberFormat="1" applyFont="1" applyBorder="1" applyAlignment="1">
      <alignment horizontal="center" vertical="center"/>
      <protection/>
    </xf>
    <xf numFmtId="194" fontId="3" fillId="0" borderId="26" xfId="24" applyNumberFormat="1" applyFont="1" applyBorder="1" applyAlignment="1">
      <alignment horizontal="center" vertical="center"/>
      <protection/>
    </xf>
    <xf numFmtId="194" fontId="3" fillId="0" borderId="4" xfId="24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4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6" fillId="0" borderId="3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3" fillId="0" borderId="30" xfId="22" applyFont="1" applyBorder="1" applyAlignment="1">
      <alignment horizontal="left" vertical="center"/>
      <protection/>
    </xf>
    <xf numFmtId="0" fontId="11" fillId="0" borderId="30" xfId="22" applyFont="1" applyBorder="1" applyAlignment="1">
      <alignment horizontal="left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94" fontId="3" fillId="0" borderId="33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/>
    </xf>
    <xf numFmtId="194" fontId="3" fillId="0" borderId="5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</cellXfs>
  <cellStyles count="12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一般_蚚阨講" xfId="21"/>
    <cellStyle name="一般_蚚阨講_PD1" xfId="22"/>
    <cellStyle name="一般_蚚阨講_PDLYY" xfId="23"/>
    <cellStyle name="一般_蚚阨講_TPD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F13" sqref="F13"/>
    </sheetView>
  </sheetViews>
  <sheetFormatPr defaultColWidth="15.625" defaultRowHeight="19.5" customHeight="1"/>
  <cols>
    <col min="1" max="1" width="4.75390625" style="3" bestFit="1" customWidth="1"/>
    <col min="2" max="2" width="10.125" style="3" bestFit="1" customWidth="1"/>
    <col min="3" max="3" width="4.75390625" style="3" bestFit="1" customWidth="1"/>
    <col min="4" max="4" width="13.375" style="3" customWidth="1"/>
    <col min="5" max="5" width="4.875" style="3" bestFit="1" customWidth="1"/>
    <col min="6" max="6" width="6.375" style="3" bestFit="1" customWidth="1"/>
    <col min="7" max="7" width="20.125" style="139" bestFit="1" customWidth="1"/>
    <col min="8" max="8" width="8.00390625" style="3" bestFit="1" customWidth="1"/>
    <col min="9" max="9" width="6.375" style="3" bestFit="1" customWidth="1"/>
    <col min="10" max="13" width="7.625" style="3" customWidth="1"/>
    <col min="14" max="16384" width="15.625" style="3" customWidth="1"/>
  </cols>
  <sheetData>
    <row r="1" spans="1:9" s="17" customFormat="1" ht="18" customHeight="1" thickBot="1">
      <c r="A1" s="362" t="s">
        <v>352</v>
      </c>
      <c r="B1" s="362"/>
      <c r="C1" s="362"/>
      <c r="D1" s="362"/>
      <c r="E1" s="362"/>
      <c r="F1" s="362"/>
      <c r="G1" s="362"/>
      <c r="H1" s="362"/>
      <c r="I1" s="362"/>
    </row>
    <row r="2" spans="1:13" ht="18" customHeight="1">
      <c r="A2" s="354" t="s">
        <v>331</v>
      </c>
      <c r="B2" s="355"/>
      <c r="C2" s="355"/>
      <c r="D2" s="355"/>
      <c r="E2" s="381" t="s">
        <v>358</v>
      </c>
      <c r="F2" s="374" t="s">
        <v>357</v>
      </c>
      <c r="G2" s="379" t="s">
        <v>366</v>
      </c>
      <c r="H2" s="377" t="s">
        <v>360</v>
      </c>
      <c r="I2" s="28" t="s">
        <v>361</v>
      </c>
      <c r="J2" s="28" t="s">
        <v>21</v>
      </c>
      <c r="K2" s="28" t="s">
        <v>363</v>
      </c>
      <c r="L2" s="28" t="s">
        <v>21</v>
      </c>
      <c r="M2" s="29" t="s">
        <v>363</v>
      </c>
    </row>
    <row r="3" spans="1:13" ht="18" customHeight="1">
      <c r="A3" s="356"/>
      <c r="B3" s="357"/>
      <c r="C3" s="357"/>
      <c r="D3" s="357"/>
      <c r="E3" s="352"/>
      <c r="F3" s="375"/>
      <c r="G3" s="380"/>
      <c r="H3" s="378"/>
      <c r="I3" s="4" t="s">
        <v>362</v>
      </c>
      <c r="J3" s="4" t="s">
        <v>364</v>
      </c>
      <c r="K3" s="4" t="s">
        <v>364</v>
      </c>
      <c r="L3" s="4" t="s">
        <v>365</v>
      </c>
      <c r="M3" s="30" t="s">
        <v>365</v>
      </c>
    </row>
    <row r="4" spans="1:13" ht="18" customHeight="1">
      <c r="A4" s="358" t="s">
        <v>332</v>
      </c>
      <c r="B4" s="5" t="s">
        <v>368</v>
      </c>
      <c r="C4" s="5" t="s">
        <v>367</v>
      </c>
      <c r="D4" s="5" t="s">
        <v>359</v>
      </c>
      <c r="E4" s="353"/>
      <c r="F4" s="376"/>
      <c r="G4" s="135" t="s">
        <v>333</v>
      </c>
      <c r="H4" s="7" t="s">
        <v>2</v>
      </c>
      <c r="I4" s="6"/>
      <c r="J4" s="6" t="s">
        <v>334</v>
      </c>
      <c r="K4" s="6" t="s">
        <v>335</v>
      </c>
      <c r="L4" s="6" t="s">
        <v>334</v>
      </c>
      <c r="M4" s="31" t="s">
        <v>335</v>
      </c>
    </row>
    <row r="5" spans="1:13" ht="18" customHeight="1">
      <c r="A5" s="359"/>
      <c r="B5" s="5" t="s">
        <v>356</v>
      </c>
      <c r="C5" s="5">
        <v>924</v>
      </c>
      <c r="D5" s="5">
        <v>3.2</v>
      </c>
      <c r="E5" s="8" t="s">
        <v>336</v>
      </c>
      <c r="F5" s="9">
        <f>C5*D5</f>
        <v>2956.8</v>
      </c>
      <c r="G5" s="136">
        <v>250</v>
      </c>
      <c r="H5" s="10">
        <v>24</v>
      </c>
      <c r="I5" s="1">
        <v>2.5</v>
      </c>
      <c r="J5" s="2">
        <f>F5*G5/1000</f>
        <v>739.2</v>
      </c>
      <c r="K5" s="1">
        <f>J5/H5*I5</f>
        <v>77</v>
      </c>
      <c r="L5" s="1">
        <f aca="true" t="shared" si="0" ref="L5:M7">J5*0.9</f>
        <v>665.2800000000001</v>
      </c>
      <c r="M5" s="75">
        <f t="shared" si="0"/>
        <v>69.3</v>
      </c>
    </row>
    <row r="6" spans="1:13" ht="18" customHeight="1">
      <c r="A6" s="359"/>
      <c r="B6" s="5" t="s">
        <v>355</v>
      </c>
      <c r="C6" s="5">
        <v>64</v>
      </c>
      <c r="D6" s="5">
        <v>3.2</v>
      </c>
      <c r="E6" s="8" t="s">
        <v>336</v>
      </c>
      <c r="F6" s="9">
        <f>C6*D6</f>
        <v>204.8</v>
      </c>
      <c r="G6" s="136">
        <v>250</v>
      </c>
      <c r="H6" s="10">
        <v>24</v>
      </c>
      <c r="I6" s="1">
        <v>2.5</v>
      </c>
      <c r="J6" s="2">
        <f>F6*G6/1000</f>
        <v>51.2</v>
      </c>
      <c r="K6" s="1">
        <f>J6/H6*I6</f>
        <v>5.333333333333333</v>
      </c>
      <c r="L6" s="1">
        <f t="shared" si="0"/>
        <v>46.080000000000005</v>
      </c>
      <c r="M6" s="75">
        <f t="shared" si="0"/>
        <v>4.8</v>
      </c>
    </row>
    <row r="7" spans="1:13" ht="18" customHeight="1">
      <c r="A7" s="359"/>
      <c r="B7" s="162" t="s">
        <v>374</v>
      </c>
      <c r="C7" s="5">
        <v>50</v>
      </c>
      <c r="D7" s="5">
        <v>3.2</v>
      </c>
      <c r="E7" s="8" t="s">
        <v>336</v>
      </c>
      <c r="F7" s="9">
        <f>C7*D7</f>
        <v>160</v>
      </c>
      <c r="G7" s="136">
        <v>250</v>
      </c>
      <c r="H7" s="10">
        <v>24</v>
      </c>
      <c r="I7" s="1">
        <v>2.5</v>
      </c>
      <c r="J7" s="2">
        <f>F7*G7/1000</f>
        <v>40</v>
      </c>
      <c r="K7" s="1">
        <f>J7/H7*I7</f>
        <v>4.166666666666667</v>
      </c>
      <c r="L7" s="1">
        <f t="shared" si="0"/>
        <v>36</v>
      </c>
      <c r="M7" s="75">
        <f t="shared" si="0"/>
        <v>3.7500000000000004</v>
      </c>
    </row>
    <row r="8" spans="1:13" ht="18" customHeight="1">
      <c r="A8" s="359"/>
      <c r="B8" s="363" t="s">
        <v>337</v>
      </c>
      <c r="C8" s="366"/>
      <c r="D8" s="364"/>
      <c r="E8" s="5" t="s">
        <v>338</v>
      </c>
      <c r="F8" s="9">
        <f>4124+1986+4400</f>
        <v>10510</v>
      </c>
      <c r="G8" s="136">
        <v>2</v>
      </c>
      <c r="H8" s="10">
        <v>8</v>
      </c>
      <c r="I8" s="1">
        <v>1</v>
      </c>
      <c r="J8" s="2">
        <f>F8*G8/1000</f>
        <v>21.02</v>
      </c>
      <c r="K8" s="1">
        <f>J8/H8*I8</f>
        <v>2.6275</v>
      </c>
      <c r="L8" s="1">
        <f>J8*1</f>
        <v>21.02</v>
      </c>
      <c r="M8" s="75">
        <f>K8*1</f>
        <v>2.6275</v>
      </c>
    </row>
    <row r="9" spans="1:13" ht="18" customHeight="1">
      <c r="A9" s="360"/>
      <c r="B9" s="365" t="s">
        <v>351</v>
      </c>
      <c r="C9" s="365"/>
      <c r="D9" s="365"/>
      <c r="E9" s="336"/>
      <c r="F9" s="14"/>
      <c r="G9" s="136"/>
      <c r="H9" s="10"/>
      <c r="I9" s="1"/>
      <c r="J9" s="1">
        <f>SUM(J5:J8)</f>
        <v>851.4200000000001</v>
      </c>
      <c r="K9" s="1">
        <f>SUM(K5:K8)</f>
        <v>89.1275</v>
      </c>
      <c r="L9" s="1">
        <f>SUM(L5:L8)</f>
        <v>768.3800000000001</v>
      </c>
      <c r="M9" s="32">
        <f>SUM(M5:M8)</f>
        <v>80.47749999999999</v>
      </c>
    </row>
    <row r="10" spans="1:13" ht="18" customHeight="1">
      <c r="A10" s="358" t="s">
        <v>371</v>
      </c>
      <c r="B10" s="5" t="s">
        <v>666</v>
      </c>
      <c r="C10" s="5">
        <v>13</v>
      </c>
      <c r="D10" s="5">
        <v>2</v>
      </c>
      <c r="E10" s="8" t="s">
        <v>336</v>
      </c>
      <c r="F10" s="9">
        <f>C10*D10</f>
        <v>26</v>
      </c>
      <c r="G10" s="136">
        <v>300</v>
      </c>
      <c r="H10" s="10">
        <v>24</v>
      </c>
      <c r="I10" s="1">
        <v>2</v>
      </c>
      <c r="J10" s="2">
        <f>F10*G10/1000</f>
        <v>7.8</v>
      </c>
      <c r="K10" s="1">
        <f>J10/H10*I10</f>
        <v>0.65</v>
      </c>
      <c r="L10" s="1">
        <f>J10*1</f>
        <v>7.8</v>
      </c>
      <c r="M10" s="75">
        <f>K10*1</f>
        <v>0.65</v>
      </c>
    </row>
    <row r="11" spans="1:13" ht="18" customHeight="1">
      <c r="A11" s="359"/>
      <c r="B11" s="366" t="s">
        <v>369</v>
      </c>
      <c r="C11" s="366"/>
      <c r="D11" s="364"/>
      <c r="E11" s="5" t="s">
        <v>339</v>
      </c>
      <c r="F11" s="14">
        <f>(8549.37+7102+5527+4847+900)*2/3</f>
        <v>17950.24666666667</v>
      </c>
      <c r="G11" s="136">
        <v>5</v>
      </c>
      <c r="H11" s="10">
        <v>12</v>
      </c>
      <c r="I11" s="1">
        <v>1.5</v>
      </c>
      <c r="J11" s="1">
        <f aca="true" t="shared" si="1" ref="J11:J16">F11*G11/1000</f>
        <v>89.75123333333335</v>
      </c>
      <c r="K11" s="1">
        <f aca="true" t="shared" si="2" ref="K11:K16">J11/H11*I11</f>
        <v>11.218904166666668</v>
      </c>
      <c r="L11" s="1">
        <f aca="true" t="shared" si="3" ref="L11:M16">J11*1</f>
        <v>89.75123333333335</v>
      </c>
      <c r="M11" s="75">
        <f t="shared" si="3"/>
        <v>11.218904166666668</v>
      </c>
    </row>
    <row r="12" spans="1:13" ht="18" customHeight="1">
      <c r="A12" s="359"/>
      <c r="B12" s="366" t="s">
        <v>344</v>
      </c>
      <c r="C12" s="366"/>
      <c r="D12" s="364"/>
      <c r="E12" s="5" t="s">
        <v>339</v>
      </c>
      <c r="F12" s="9">
        <f>3950+3950</f>
        <v>7900</v>
      </c>
      <c r="G12" s="136">
        <v>2</v>
      </c>
      <c r="H12" s="10">
        <v>8</v>
      </c>
      <c r="I12" s="1">
        <v>1</v>
      </c>
      <c r="J12" s="1">
        <f t="shared" si="1"/>
        <v>15.8</v>
      </c>
      <c r="K12" s="1">
        <f t="shared" si="2"/>
        <v>1.975</v>
      </c>
      <c r="L12" s="1">
        <f t="shared" si="3"/>
        <v>15.8</v>
      </c>
      <c r="M12" s="75">
        <f t="shared" si="3"/>
        <v>1.975</v>
      </c>
    </row>
    <row r="13" spans="1:13" ht="18" customHeight="1">
      <c r="A13" s="359"/>
      <c r="B13" s="370" t="s">
        <v>668</v>
      </c>
      <c r="C13" s="365" t="s">
        <v>667</v>
      </c>
      <c r="D13" s="365"/>
      <c r="E13" s="5" t="s">
        <v>341</v>
      </c>
      <c r="F13" s="14">
        <f>26925/3/3*2/1.3*3</f>
        <v>13807.692307692309</v>
      </c>
      <c r="G13" s="136">
        <v>25</v>
      </c>
      <c r="H13" s="10">
        <v>12</v>
      </c>
      <c r="I13" s="1">
        <v>1.5</v>
      </c>
      <c r="J13" s="1">
        <f t="shared" si="1"/>
        <v>345.1923076923077</v>
      </c>
      <c r="K13" s="1">
        <f t="shared" si="2"/>
        <v>43.14903846153846</v>
      </c>
      <c r="L13" s="1">
        <f t="shared" si="3"/>
        <v>345.1923076923077</v>
      </c>
      <c r="M13" s="75">
        <f t="shared" si="3"/>
        <v>43.14903846153846</v>
      </c>
    </row>
    <row r="14" spans="1:13" ht="18" customHeight="1">
      <c r="A14" s="359"/>
      <c r="B14" s="371"/>
      <c r="C14" s="363" t="s">
        <v>342</v>
      </c>
      <c r="D14" s="364"/>
      <c r="E14" s="5" t="s">
        <v>343</v>
      </c>
      <c r="F14" s="14">
        <f>F13/3/10</f>
        <v>460.2564102564103</v>
      </c>
      <c r="G14" s="136">
        <v>60</v>
      </c>
      <c r="H14" s="10">
        <v>12</v>
      </c>
      <c r="I14" s="1">
        <v>1.5</v>
      </c>
      <c r="J14" s="1">
        <f t="shared" si="1"/>
        <v>27.615384615384617</v>
      </c>
      <c r="K14" s="1">
        <f t="shared" si="2"/>
        <v>3.4519230769230775</v>
      </c>
      <c r="L14" s="1">
        <v>36</v>
      </c>
      <c r="M14" s="75">
        <f t="shared" si="3"/>
        <v>3.4519230769230775</v>
      </c>
    </row>
    <row r="15" spans="1:13" ht="18" customHeight="1">
      <c r="A15" s="359"/>
      <c r="B15" s="367" t="s">
        <v>345</v>
      </c>
      <c r="C15" s="363" t="s">
        <v>346</v>
      </c>
      <c r="D15" s="364"/>
      <c r="E15" s="8" t="s">
        <v>343</v>
      </c>
      <c r="F15" s="14">
        <f>400/10</f>
        <v>40</v>
      </c>
      <c r="G15" s="136">
        <v>60</v>
      </c>
      <c r="H15" s="10">
        <v>12</v>
      </c>
      <c r="I15" s="1">
        <v>1.5</v>
      </c>
      <c r="J15" s="1">
        <f t="shared" si="1"/>
        <v>2.4</v>
      </c>
      <c r="K15" s="1">
        <f t="shared" si="2"/>
        <v>0.3</v>
      </c>
      <c r="L15" s="1">
        <f t="shared" si="3"/>
        <v>2.4</v>
      </c>
      <c r="M15" s="75">
        <f t="shared" si="3"/>
        <v>0.3</v>
      </c>
    </row>
    <row r="16" spans="1:13" ht="18" customHeight="1">
      <c r="A16" s="359"/>
      <c r="B16" s="368"/>
      <c r="C16" s="363" t="s">
        <v>342</v>
      </c>
      <c r="D16" s="364"/>
      <c r="E16" s="8" t="s">
        <v>343</v>
      </c>
      <c r="F16" s="14">
        <v>10</v>
      </c>
      <c r="G16" s="136">
        <v>60</v>
      </c>
      <c r="H16" s="10">
        <v>12</v>
      </c>
      <c r="I16" s="1">
        <v>1.5</v>
      </c>
      <c r="J16" s="1">
        <f t="shared" si="1"/>
        <v>0.6</v>
      </c>
      <c r="K16" s="1">
        <f t="shared" si="2"/>
        <v>0.075</v>
      </c>
      <c r="L16" s="1">
        <f t="shared" si="3"/>
        <v>0.6</v>
      </c>
      <c r="M16" s="75">
        <f t="shared" si="3"/>
        <v>0.075</v>
      </c>
    </row>
    <row r="17" spans="1:13" ht="18" customHeight="1">
      <c r="A17" s="359"/>
      <c r="B17" s="368"/>
      <c r="C17" s="363" t="s">
        <v>329</v>
      </c>
      <c r="D17" s="364"/>
      <c r="E17" s="159" t="s">
        <v>347</v>
      </c>
      <c r="F17" s="14">
        <f>260*1.4</f>
        <v>364</v>
      </c>
      <c r="G17" s="160" t="s">
        <v>349</v>
      </c>
      <c r="H17" s="10">
        <v>12</v>
      </c>
      <c r="I17" s="1">
        <v>1</v>
      </c>
      <c r="J17" s="1">
        <f>F17*0.15</f>
        <v>54.6</v>
      </c>
      <c r="K17" s="1">
        <f>J17/H17</f>
        <v>4.55</v>
      </c>
      <c r="L17" s="1">
        <v>0</v>
      </c>
      <c r="M17" s="75">
        <v>0</v>
      </c>
    </row>
    <row r="18" spans="1:13" ht="18" customHeight="1">
      <c r="A18" s="359"/>
      <c r="B18" s="369"/>
      <c r="C18" s="363" t="s">
        <v>353</v>
      </c>
      <c r="D18" s="364"/>
      <c r="E18" s="159" t="s">
        <v>347</v>
      </c>
      <c r="F18" s="14">
        <f>35*0.4</f>
        <v>14</v>
      </c>
      <c r="G18" s="160" t="s">
        <v>348</v>
      </c>
      <c r="H18" s="10">
        <v>12</v>
      </c>
      <c r="I18" s="1">
        <v>1</v>
      </c>
      <c r="J18" s="1">
        <f>F18*0.2*H18</f>
        <v>33.6</v>
      </c>
      <c r="K18" s="1">
        <f>J18/H18</f>
        <v>2.8000000000000003</v>
      </c>
      <c r="L18" s="1">
        <v>0</v>
      </c>
      <c r="M18" s="75">
        <v>0</v>
      </c>
    </row>
    <row r="19" spans="1:13" ht="18" customHeight="1">
      <c r="A19" s="360"/>
      <c r="B19" s="369" t="s">
        <v>350</v>
      </c>
      <c r="C19" s="369"/>
      <c r="D19" s="371"/>
      <c r="E19" s="13"/>
      <c r="F19" s="14"/>
      <c r="G19" s="137"/>
      <c r="H19" s="10"/>
      <c r="I19" s="1"/>
      <c r="J19" s="1">
        <f>SUM(J10:J18)</f>
        <v>577.3589256410257</v>
      </c>
      <c r="K19" s="1">
        <f>SUM(K10:K18)</f>
        <v>68.1698657051282</v>
      </c>
      <c r="L19" s="1">
        <f>SUM(L10:L18)</f>
        <v>497.54354102564105</v>
      </c>
      <c r="M19" s="32">
        <f>SUM(M10:M18)</f>
        <v>60.81986570512821</v>
      </c>
    </row>
    <row r="20" spans="1:13" ht="18" customHeight="1">
      <c r="A20" s="349" t="s">
        <v>372</v>
      </c>
      <c r="B20" s="365"/>
      <c r="C20" s="365"/>
      <c r="D20" s="365"/>
      <c r="E20" s="5" t="s">
        <v>370</v>
      </c>
      <c r="F20" s="14">
        <v>18000</v>
      </c>
      <c r="G20" s="137">
        <v>2</v>
      </c>
      <c r="H20" s="10">
        <v>8</v>
      </c>
      <c r="I20" s="1">
        <v>1</v>
      </c>
      <c r="J20" s="1">
        <f>F20*G20/1000</f>
        <v>36</v>
      </c>
      <c r="K20" s="1">
        <f>J20/H20*I20</f>
        <v>4.5</v>
      </c>
      <c r="L20" s="1">
        <v>0</v>
      </c>
      <c r="M20" s="75">
        <v>0</v>
      </c>
    </row>
    <row r="21" spans="1:13" ht="18" customHeight="1">
      <c r="A21" s="350" t="s">
        <v>373</v>
      </c>
      <c r="B21" s="366"/>
      <c r="C21" s="366"/>
      <c r="D21" s="364"/>
      <c r="E21" s="12"/>
      <c r="F21" s="14"/>
      <c r="G21" s="137"/>
      <c r="H21" s="10"/>
      <c r="I21" s="1"/>
      <c r="J21" s="1">
        <f>SUM(J20)</f>
        <v>36</v>
      </c>
      <c r="K21" s="1">
        <f>SUM(K20)</f>
        <v>4.5</v>
      </c>
      <c r="L21" s="1">
        <f>SUM(L20)</f>
        <v>0</v>
      </c>
      <c r="M21" s="32">
        <f>SUM(M20)</f>
        <v>0</v>
      </c>
    </row>
    <row r="22" spans="1:13" ht="18" customHeight="1">
      <c r="A22" s="361" t="s">
        <v>454</v>
      </c>
      <c r="B22" s="343"/>
      <c r="C22" s="343"/>
      <c r="D22" s="344"/>
      <c r="E22" s="12"/>
      <c r="F22" s="14"/>
      <c r="G22" s="137"/>
      <c r="H22" s="10"/>
      <c r="I22" s="1"/>
      <c r="J22" s="1">
        <f>J9+J19+J21</f>
        <v>1464.7789256410258</v>
      </c>
      <c r="K22" s="1">
        <f>K9+K19+K21</f>
        <v>161.7973657051282</v>
      </c>
      <c r="L22" s="1">
        <f>L9+L19+L21</f>
        <v>1265.923541025641</v>
      </c>
      <c r="M22" s="32">
        <f>M9+M19+M21</f>
        <v>141.2973657051282</v>
      </c>
    </row>
    <row r="23" spans="1:13" ht="18" customHeight="1">
      <c r="A23" s="361" t="s">
        <v>455</v>
      </c>
      <c r="B23" s="343"/>
      <c r="C23" s="343"/>
      <c r="D23" s="344"/>
      <c r="E23" s="15"/>
      <c r="F23" s="14"/>
      <c r="G23" s="137"/>
      <c r="H23" s="16"/>
      <c r="I23" s="16"/>
      <c r="J23" s="16">
        <f>J22*0.2</f>
        <v>292.95578512820515</v>
      </c>
      <c r="K23" s="16">
        <f>K22*0.2</f>
        <v>32.35947314102564</v>
      </c>
      <c r="L23" s="16">
        <f>L22*0.2</f>
        <v>253.18470820512823</v>
      </c>
      <c r="M23" s="33">
        <f>M22*0.2</f>
        <v>28.259473141025637</v>
      </c>
    </row>
    <row r="24" spans="1:13" ht="18" customHeight="1" thickBot="1">
      <c r="A24" s="346" t="s">
        <v>453</v>
      </c>
      <c r="B24" s="347"/>
      <c r="C24" s="347"/>
      <c r="D24" s="348"/>
      <c r="E24" s="34"/>
      <c r="F24" s="35"/>
      <c r="G24" s="138"/>
      <c r="H24" s="36"/>
      <c r="I24" s="36"/>
      <c r="J24" s="138">
        <f>J22+J23</f>
        <v>1757.734710769231</v>
      </c>
      <c r="K24" s="138">
        <f>K22+K23</f>
        <v>194.15683884615382</v>
      </c>
      <c r="L24" s="138">
        <f>L22+L23</f>
        <v>1519.1082492307692</v>
      </c>
      <c r="M24" s="161">
        <f>M22+M23</f>
        <v>169.55683884615382</v>
      </c>
    </row>
    <row r="25" spans="1:13" ht="18" customHeight="1">
      <c r="A25" s="345" t="s">
        <v>417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1:13" ht="18" customHeight="1">
      <c r="A26" s="372" t="s">
        <v>354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</row>
    <row r="27" ht="18" customHeight="1"/>
    <row r="28" ht="18" customHeight="1"/>
  </sheetData>
  <mergeCells count="28">
    <mergeCell ref="A25:M25"/>
    <mergeCell ref="C15:D15"/>
    <mergeCell ref="C16:D16"/>
    <mergeCell ref="A24:D24"/>
    <mergeCell ref="A23:D23"/>
    <mergeCell ref="A20:D20"/>
    <mergeCell ref="A10:A19"/>
    <mergeCell ref="A21:D21"/>
    <mergeCell ref="B19:D19"/>
    <mergeCell ref="B11:D11"/>
    <mergeCell ref="A26:M26"/>
    <mergeCell ref="F2:F4"/>
    <mergeCell ref="H2:H3"/>
    <mergeCell ref="G2:G3"/>
    <mergeCell ref="B9:D9"/>
    <mergeCell ref="E2:E4"/>
    <mergeCell ref="B8:D8"/>
    <mergeCell ref="A2:D3"/>
    <mergeCell ref="A4:A9"/>
    <mergeCell ref="A22:D22"/>
    <mergeCell ref="A1:I1"/>
    <mergeCell ref="C17:D17"/>
    <mergeCell ref="C13:D13"/>
    <mergeCell ref="B12:D12"/>
    <mergeCell ref="C14:D14"/>
    <mergeCell ref="B15:B18"/>
    <mergeCell ref="C18:D18"/>
    <mergeCell ref="B13:B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00390625" defaultRowHeight="16.5"/>
  <cols>
    <col min="1" max="1" width="13.875" style="44" bestFit="1" customWidth="1"/>
    <col min="2" max="3" width="8.00390625" style="44" customWidth="1"/>
    <col min="4" max="4" width="4.75390625" style="44" customWidth="1"/>
    <col min="5" max="12" width="4.75390625" style="44" hidden="1" customWidth="1"/>
    <col min="13" max="13" width="5.00390625" style="44" hidden="1" customWidth="1"/>
    <col min="14" max="18" width="4.75390625" style="44" hidden="1" customWidth="1"/>
    <col min="19" max="19" width="8.00390625" style="44" bestFit="1" customWidth="1"/>
    <col min="20" max="20" width="4.75390625" style="44" bestFit="1" customWidth="1"/>
    <col min="21" max="21" width="9.625" style="44" customWidth="1"/>
    <col min="22" max="23" width="8.00390625" style="44" customWidth="1"/>
    <col min="24" max="24" width="6.375" style="44" bestFit="1" customWidth="1"/>
    <col min="25" max="27" width="5.00390625" style="44" bestFit="1" customWidth="1"/>
    <col min="28" max="28" width="8.00390625" style="105" hidden="1" customWidth="1"/>
    <col min="29" max="29" width="8.00390625" style="44" customWidth="1"/>
    <col min="30" max="30" width="6.375" style="44" bestFit="1" customWidth="1"/>
    <col min="31" max="31" width="5.00390625" style="44" bestFit="1" customWidth="1"/>
    <col min="32" max="32" width="8.00390625" style="98" hidden="1" customWidth="1"/>
    <col min="33" max="33" width="8.00390625" style="44" customWidth="1"/>
    <col min="34" max="36" width="5.00390625" style="44" bestFit="1" customWidth="1"/>
    <col min="37" max="16384" width="9.00390625" style="44" customWidth="1"/>
  </cols>
  <sheetData>
    <row r="1" spans="1:19" ht="19.5" customHeight="1" thickBot="1">
      <c r="A1" s="443" t="s">
        <v>133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spans="1:36" ht="19.5" customHeight="1">
      <c r="A2" s="444" t="s">
        <v>131</v>
      </c>
      <c r="B2" s="21" t="s">
        <v>67</v>
      </c>
      <c r="C2" s="447" t="s">
        <v>68</v>
      </c>
      <c r="D2" s="21" t="s">
        <v>69</v>
      </c>
      <c r="E2" s="438" t="s">
        <v>66</v>
      </c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  <c r="S2" s="21" t="s">
        <v>70</v>
      </c>
      <c r="T2" s="21" t="s">
        <v>71</v>
      </c>
      <c r="U2" s="21" t="s">
        <v>72</v>
      </c>
      <c r="V2" s="21" t="s">
        <v>73</v>
      </c>
      <c r="W2" s="21" t="s">
        <v>70</v>
      </c>
      <c r="X2" s="21" t="s">
        <v>181</v>
      </c>
      <c r="Y2" s="438" t="s">
        <v>171</v>
      </c>
      <c r="Z2" s="440"/>
      <c r="AA2" s="438" t="s">
        <v>172</v>
      </c>
      <c r="AB2" s="439"/>
      <c r="AC2" s="439"/>
      <c r="AD2" s="440"/>
      <c r="AE2" s="438" t="s">
        <v>173</v>
      </c>
      <c r="AF2" s="439"/>
      <c r="AG2" s="439"/>
      <c r="AH2" s="440"/>
      <c r="AI2" s="438" t="s">
        <v>174</v>
      </c>
      <c r="AJ2" s="441"/>
    </row>
    <row r="3" spans="1:36" ht="19.5" customHeight="1">
      <c r="A3" s="445"/>
      <c r="B3" s="22" t="s">
        <v>79</v>
      </c>
      <c r="C3" s="448"/>
      <c r="D3" s="22" t="s">
        <v>80</v>
      </c>
      <c r="E3" s="442" t="s">
        <v>74</v>
      </c>
      <c r="F3" s="442"/>
      <c r="G3" s="442" t="s">
        <v>75</v>
      </c>
      <c r="H3" s="442"/>
      <c r="I3" s="442" t="s">
        <v>76</v>
      </c>
      <c r="J3" s="442"/>
      <c r="K3" s="442" t="s">
        <v>77</v>
      </c>
      <c r="L3" s="442"/>
      <c r="M3" s="442" t="s">
        <v>78</v>
      </c>
      <c r="N3" s="442"/>
      <c r="O3" s="442" t="s">
        <v>134</v>
      </c>
      <c r="P3" s="442"/>
      <c r="Q3" s="442" t="s">
        <v>135</v>
      </c>
      <c r="R3" s="442"/>
      <c r="S3" s="22" t="s">
        <v>81</v>
      </c>
      <c r="T3" s="22" t="s">
        <v>82</v>
      </c>
      <c r="U3" s="22" t="s">
        <v>73</v>
      </c>
      <c r="V3" s="22" t="s">
        <v>83</v>
      </c>
      <c r="W3" s="22" t="s">
        <v>84</v>
      </c>
      <c r="X3" s="22" t="s">
        <v>85</v>
      </c>
      <c r="Y3" s="22" t="s">
        <v>177</v>
      </c>
      <c r="Z3" s="22" t="s">
        <v>170</v>
      </c>
      <c r="AA3" s="22" t="s">
        <v>180</v>
      </c>
      <c r="AB3" s="106" t="s">
        <v>179</v>
      </c>
      <c r="AC3" s="22" t="s">
        <v>175</v>
      </c>
      <c r="AD3" s="22" t="s">
        <v>170</v>
      </c>
      <c r="AE3" s="22" t="s">
        <v>180</v>
      </c>
      <c r="AF3" s="99" t="s">
        <v>178</v>
      </c>
      <c r="AG3" s="22" t="s">
        <v>175</v>
      </c>
      <c r="AH3" s="22" t="s">
        <v>170</v>
      </c>
      <c r="AI3" s="22" t="s">
        <v>177</v>
      </c>
      <c r="AJ3" s="57" t="s">
        <v>170</v>
      </c>
    </row>
    <row r="4" spans="1:36" ht="19.5" customHeight="1">
      <c r="A4" s="446"/>
      <c r="B4" s="45" t="s">
        <v>88</v>
      </c>
      <c r="C4" s="45" t="s">
        <v>89</v>
      </c>
      <c r="D4" s="22" t="s">
        <v>54</v>
      </c>
      <c r="E4" s="25" t="s">
        <v>86</v>
      </c>
      <c r="F4" s="25" t="s">
        <v>87</v>
      </c>
      <c r="G4" s="25" t="s">
        <v>86</v>
      </c>
      <c r="H4" s="25" t="s">
        <v>87</v>
      </c>
      <c r="I4" s="25" t="s">
        <v>86</v>
      </c>
      <c r="J4" s="25" t="s">
        <v>87</v>
      </c>
      <c r="K4" s="25" t="s">
        <v>86</v>
      </c>
      <c r="L4" s="25" t="s">
        <v>87</v>
      </c>
      <c r="M4" s="25" t="s">
        <v>86</v>
      </c>
      <c r="N4" s="25" t="s">
        <v>87</v>
      </c>
      <c r="O4" s="25" t="s">
        <v>86</v>
      </c>
      <c r="P4" s="25" t="s">
        <v>87</v>
      </c>
      <c r="Q4" s="25" t="s">
        <v>86</v>
      </c>
      <c r="R4" s="25" t="s">
        <v>87</v>
      </c>
      <c r="S4" s="22" t="s">
        <v>90</v>
      </c>
      <c r="T4" s="45" t="s">
        <v>55</v>
      </c>
      <c r="U4" s="45" t="s">
        <v>15</v>
      </c>
      <c r="V4" s="45" t="s">
        <v>91</v>
      </c>
      <c r="W4" s="22" t="s">
        <v>83</v>
      </c>
      <c r="X4" s="45" t="s">
        <v>92</v>
      </c>
      <c r="Y4" s="45" t="s">
        <v>93</v>
      </c>
      <c r="Z4" s="45" t="s">
        <v>94</v>
      </c>
      <c r="AA4" s="45" t="s">
        <v>93</v>
      </c>
      <c r="AB4" s="107" t="s">
        <v>12</v>
      </c>
      <c r="AC4" s="45" t="s">
        <v>176</v>
      </c>
      <c r="AD4" s="45" t="s">
        <v>94</v>
      </c>
      <c r="AE4" s="45" t="s">
        <v>93</v>
      </c>
      <c r="AF4" s="100" t="s">
        <v>94</v>
      </c>
      <c r="AG4" s="45" t="s">
        <v>176</v>
      </c>
      <c r="AH4" s="45" t="s">
        <v>94</v>
      </c>
      <c r="AI4" s="45" t="s">
        <v>93</v>
      </c>
      <c r="AJ4" s="58" t="s">
        <v>94</v>
      </c>
    </row>
    <row r="5" spans="1:36" ht="19.5" customHeight="1">
      <c r="A5" s="78" t="s">
        <v>132</v>
      </c>
      <c r="B5" s="25">
        <v>250</v>
      </c>
      <c r="C5" s="25">
        <v>3.2</v>
      </c>
      <c r="D5" s="25">
        <v>2.5</v>
      </c>
      <c r="E5" s="25">
        <v>1</v>
      </c>
      <c r="F5" s="25">
        <v>0.75</v>
      </c>
      <c r="G5" s="25">
        <v>1</v>
      </c>
      <c r="H5" s="25">
        <v>1.2</v>
      </c>
      <c r="I5" s="25">
        <v>1</v>
      </c>
      <c r="J5" s="25">
        <v>1</v>
      </c>
      <c r="K5" s="25">
        <v>0</v>
      </c>
      <c r="L5" s="55">
        <v>0.75</v>
      </c>
      <c r="M5" s="25">
        <v>1</v>
      </c>
      <c r="N5" s="55">
        <v>0.5</v>
      </c>
      <c r="O5" s="55">
        <v>1</v>
      </c>
      <c r="P5" s="55">
        <v>1</v>
      </c>
      <c r="Q5" s="25">
        <v>0</v>
      </c>
      <c r="R5" s="55">
        <v>1</v>
      </c>
      <c r="S5" s="25">
        <f aca="true" t="shared" si="0" ref="S5:S10">E5*F5+G5*H5+I5*J5+K5*L5+M5*N5+O5*P5+Q5*R5</f>
        <v>4.45</v>
      </c>
      <c r="T5" s="25">
        <v>24</v>
      </c>
      <c r="U5" s="79">
        <f aca="true" t="shared" si="1" ref="U5:U10">B5*C5*D5*100/(0.2*S5*T5*3600)</f>
        <v>2.6009155222638363</v>
      </c>
      <c r="V5" s="47">
        <f>0.01512+0.00854*(U5-2.5)</f>
        <v>0.01598181856013316</v>
      </c>
      <c r="W5" s="48">
        <f aca="true" t="shared" si="2" ref="W5:W10">(1+V5*POWER(S5-1,0.49))/SQRT(S5)</f>
        <v>0.4879442708645399</v>
      </c>
      <c r="X5" s="46">
        <f aca="true" t="shared" si="3" ref="X5:X10">0.2*W5*S5</f>
        <v>0.43427040106944054</v>
      </c>
      <c r="Y5" s="25">
        <v>25</v>
      </c>
      <c r="Z5" s="25">
        <v>0.85</v>
      </c>
      <c r="AA5" s="25">
        <v>25</v>
      </c>
      <c r="AB5" s="108">
        <v>0.68</v>
      </c>
      <c r="AC5" s="25">
        <v>1.119</v>
      </c>
      <c r="AD5" s="46">
        <f aca="true" t="shared" si="4" ref="AD5:AD10">AB5*AC5</f>
        <v>0.76092</v>
      </c>
      <c r="AE5" s="25">
        <v>25</v>
      </c>
      <c r="AF5" s="101">
        <f aca="true" t="shared" si="5" ref="AF5:AF10">AB5</f>
        <v>0.68</v>
      </c>
      <c r="AG5" s="25">
        <v>1.21</v>
      </c>
      <c r="AH5" s="46">
        <f aca="true" t="shared" si="6" ref="AH5:AH10">AF5*AG5</f>
        <v>0.8228000000000001</v>
      </c>
      <c r="AI5" s="25">
        <v>25</v>
      </c>
      <c r="AJ5" s="59">
        <v>0.76</v>
      </c>
    </row>
    <row r="6" spans="1:36" ht="19.5" customHeight="1">
      <c r="A6" s="78" t="s">
        <v>164</v>
      </c>
      <c r="B6" s="25">
        <v>250</v>
      </c>
      <c r="C6" s="25">
        <v>3.2</v>
      </c>
      <c r="D6" s="25">
        <v>2.5</v>
      </c>
      <c r="E6" s="25">
        <v>2</v>
      </c>
      <c r="F6" s="25">
        <v>0.75</v>
      </c>
      <c r="G6" s="25">
        <v>2</v>
      </c>
      <c r="H6" s="25">
        <v>1.2</v>
      </c>
      <c r="I6" s="25">
        <v>1</v>
      </c>
      <c r="J6" s="25">
        <v>1</v>
      </c>
      <c r="K6" s="25">
        <v>0</v>
      </c>
      <c r="L6" s="55">
        <v>0.75</v>
      </c>
      <c r="M6" s="25">
        <v>2</v>
      </c>
      <c r="N6" s="55">
        <v>0.5</v>
      </c>
      <c r="O6" s="55">
        <v>1</v>
      </c>
      <c r="P6" s="55">
        <v>1</v>
      </c>
      <c r="Q6" s="25">
        <v>0</v>
      </c>
      <c r="R6" s="55">
        <v>1</v>
      </c>
      <c r="S6" s="25">
        <f t="shared" si="0"/>
        <v>6.9</v>
      </c>
      <c r="T6" s="25">
        <v>24</v>
      </c>
      <c r="U6" s="79">
        <f t="shared" si="1"/>
        <v>1.6774020397208802</v>
      </c>
      <c r="V6" s="47">
        <f>0.00697+0.008*(U6-1.5)</f>
        <v>0.008389216317767042</v>
      </c>
      <c r="W6" s="48">
        <f t="shared" si="2"/>
        <v>0.3883145354308839</v>
      </c>
      <c r="X6" s="46">
        <f t="shared" si="3"/>
        <v>0.5358740588946199</v>
      </c>
      <c r="Y6" s="25">
        <v>25</v>
      </c>
      <c r="Z6" s="25">
        <v>1.04</v>
      </c>
      <c r="AA6" s="25">
        <v>25</v>
      </c>
      <c r="AB6" s="108">
        <v>0.83</v>
      </c>
      <c r="AC6" s="25">
        <v>1.189</v>
      </c>
      <c r="AD6" s="46">
        <f t="shared" si="4"/>
        <v>0.98687</v>
      </c>
      <c r="AE6" s="25">
        <v>25</v>
      </c>
      <c r="AF6" s="101">
        <f t="shared" si="5"/>
        <v>0.83</v>
      </c>
      <c r="AG6" s="25">
        <v>1.154</v>
      </c>
      <c r="AH6" s="46">
        <f t="shared" si="6"/>
        <v>0.9578199999999999</v>
      </c>
      <c r="AI6" s="25">
        <v>25</v>
      </c>
      <c r="AJ6" s="59">
        <v>1</v>
      </c>
    </row>
    <row r="7" spans="1:36" ht="19.5" customHeight="1">
      <c r="A7" s="78" t="s">
        <v>165</v>
      </c>
      <c r="B7" s="25">
        <v>250</v>
      </c>
      <c r="C7" s="25">
        <v>3.2</v>
      </c>
      <c r="D7" s="25">
        <v>2.5</v>
      </c>
      <c r="E7" s="25">
        <v>3</v>
      </c>
      <c r="F7" s="25">
        <v>0.75</v>
      </c>
      <c r="G7" s="25">
        <v>3</v>
      </c>
      <c r="H7" s="25">
        <v>1.2</v>
      </c>
      <c r="I7" s="25">
        <v>1</v>
      </c>
      <c r="J7" s="25">
        <v>1</v>
      </c>
      <c r="K7" s="25">
        <v>0</v>
      </c>
      <c r="L7" s="55">
        <v>0.75</v>
      </c>
      <c r="M7" s="25">
        <v>3</v>
      </c>
      <c r="N7" s="55">
        <v>0.5</v>
      </c>
      <c r="O7" s="55">
        <v>1</v>
      </c>
      <c r="P7" s="55">
        <v>1</v>
      </c>
      <c r="Q7" s="25">
        <v>0</v>
      </c>
      <c r="R7" s="55">
        <v>1</v>
      </c>
      <c r="S7" s="25">
        <f t="shared" si="0"/>
        <v>9.35</v>
      </c>
      <c r="T7" s="25">
        <v>24</v>
      </c>
      <c r="U7" s="79">
        <f t="shared" si="1"/>
        <v>1.2378688849277084</v>
      </c>
      <c r="V7" s="47">
        <f>0.00323+0.00748*(U7-1)</f>
        <v>0.0050092592592592584</v>
      </c>
      <c r="W7" s="48">
        <f t="shared" si="2"/>
        <v>0.3316693760776046</v>
      </c>
      <c r="X7" s="46">
        <f t="shared" si="3"/>
        <v>0.6202217332651205</v>
      </c>
      <c r="Y7" s="25">
        <v>25</v>
      </c>
      <c r="Z7" s="25">
        <v>1.18</v>
      </c>
      <c r="AA7" s="25">
        <v>25</v>
      </c>
      <c r="AB7" s="108">
        <v>0.95</v>
      </c>
      <c r="AC7" s="25">
        <v>1.189</v>
      </c>
      <c r="AD7" s="46">
        <f t="shared" si="4"/>
        <v>1.12955</v>
      </c>
      <c r="AE7" s="25">
        <v>25</v>
      </c>
      <c r="AF7" s="101">
        <f t="shared" si="5"/>
        <v>0.95</v>
      </c>
      <c r="AG7" s="25">
        <v>1.154</v>
      </c>
      <c r="AH7" s="46">
        <f t="shared" si="6"/>
        <v>1.0962999999999998</v>
      </c>
      <c r="AI7" s="25">
        <v>25</v>
      </c>
      <c r="AJ7" s="59">
        <v>1.17</v>
      </c>
    </row>
    <row r="8" spans="1:36" ht="19.5" customHeight="1">
      <c r="A8" s="78" t="s">
        <v>166</v>
      </c>
      <c r="B8" s="25">
        <v>250</v>
      </c>
      <c r="C8" s="25">
        <v>3.2</v>
      </c>
      <c r="D8" s="25">
        <v>2.5</v>
      </c>
      <c r="E8" s="25">
        <v>5</v>
      </c>
      <c r="F8" s="25">
        <v>0.75</v>
      </c>
      <c r="G8" s="25">
        <v>4</v>
      </c>
      <c r="H8" s="25">
        <v>1.2</v>
      </c>
      <c r="I8" s="25">
        <v>1</v>
      </c>
      <c r="J8" s="25">
        <v>1</v>
      </c>
      <c r="K8" s="25">
        <v>1</v>
      </c>
      <c r="L8" s="55">
        <v>0.75</v>
      </c>
      <c r="M8" s="25">
        <v>4</v>
      </c>
      <c r="N8" s="55">
        <v>0.5</v>
      </c>
      <c r="O8" s="55">
        <v>1</v>
      </c>
      <c r="P8" s="55">
        <v>1</v>
      </c>
      <c r="Q8" s="25">
        <v>1</v>
      </c>
      <c r="R8" s="55">
        <v>1</v>
      </c>
      <c r="S8" s="25">
        <f t="shared" si="0"/>
        <v>14.3</v>
      </c>
      <c r="T8" s="25">
        <v>24</v>
      </c>
      <c r="U8" s="79">
        <f t="shared" si="1"/>
        <v>0.8093758093758092</v>
      </c>
      <c r="V8" s="47">
        <f>0.00323+0.00748*(U8-1)</f>
        <v>0.0018041310541310528</v>
      </c>
      <c r="W8" s="48">
        <f t="shared" si="2"/>
        <v>0.26613840196798333</v>
      </c>
      <c r="X8" s="46">
        <f t="shared" si="3"/>
        <v>0.7611558296284324</v>
      </c>
      <c r="Y8" s="25">
        <v>32</v>
      </c>
      <c r="Z8" s="25">
        <v>0.82</v>
      </c>
      <c r="AA8" s="25">
        <v>32</v>
      </c>
      <c r="AB8" s="108">
        <v>0.76</v>
      </c>
      <c r="AC8" s="25">
        <v>1.175</v>
      </c>
      <c r="AD8" s="46">
        <f t="shared" si="4"/>
        <v>0.893</v>
      </c>
      <c r="AE8" s="25">
        <v>32</v>
      </c>
      <c r="AF8" s="101">
        <f t="shared" si="5"/>
        <v>0.76</v>
      </c>
      <c r="AG8" s="25">
        <v>1.121</v>
      </c>
      <c r="AH8" s="46">
        <f t="shared" si="6"/>
        <v>0.85196</v>
      </c>
      <c r="AI8" s="25">
        <v>32</v>
      </c>
      <c r="AJ8" s="59">
        <v>0.93</v>
      </c>
    </row>
    <row r="9" spans="1:36" ht="19.5" customHeight="1">
      <c r="A9" s="78" t="s">
        <v>167</v>
      </c>
      <c r="B9" s="25">
        <v>250</v>
      </c>
      <c r="C9" s="25">
        <v>3.2</v>
      </c>
      <c r="D9" s="25">
        <v>2.5</v>
      </c>
      <c r="E9" s="25">
        <v>6</v>
      </c>
      <c r="F9" s="25">
        <v>0.75</v>
      </c>
      <c r="G9" s="25">
        <v>5</v>
      </c>
      <c r="H9" s="25">
        <v>1.2</v>
      </c>
      <c r="I9" s="25">
        <v>1</v>
      </c>
      <c r="J9" s="25">
        <v>1</v>
      </c>
      <c r="K9" s="25">
        <v>1</v>
      </c>
      <c r="L9" s="55">
        <v>0.75</v>
      </c>
      <c r="M9" s="25">
        <v>5</v>
      </c>
      <c r="N9" s="55">
        <v>0.5</v>
      </c>
      <c r="O9" s="55">
        <v>1</v>
      </c>
      <c r="P9" s="55">
        <v>1</v>
      </c>
      <c r="Q9" s="25">
        <v>1</v>
      </c>
      <c r="R9" s="55">
        <v>1</v>
      </c>
      <c r="S9" s="25">
        <f t="shared" si="0"/>
        <v>16.75</v>
      </c>
      <c r="T9" s="25">
        <v>24</v>
      </c>
      <c r="U9" s="79">
        <f t="shared" si="1"/>
        <v>0.6909894969596462</v>
      </c>
      <c r="V9" s="47">
        <f>0.00323+0.00748*(U9-1)</f>
        <v>0.0009186014372581531</v>
      </c>
      <c r="W9" s="48">
        <f t="shared" si="2"/>
        <v>0.24520542586650115</v>
      </c>
      <c r="X9" s="46">
        <f t="shared" si="3"/>
        <v>0.821438176652779</v>
      </c>
      <c r="Y9" s="25">
        <v>32</v>
      </c>
      <c r="Z9" s="25">
        <v>0.87</v>
      </c>
      <c r="AA9" s="25">
        <v>32</v>
      </c>
      <c r="AB9" s="108">
        <v>0.82</v>
      </c>
      <c r="AC9" s="25">
        <v>1.175</v>
      </c>
      <c r="AD9" s="46">
        <f t="shared" si="4"/>
        <v>0.9635</v>
      </c>
      <c r="AE9" s="25">
        <v>32</v>
      </c>
      <c r="AF9" s="101">
        <f t="shared" si="5"/>
        <v>0.82</v>
      </c>
      <c r="AG9" s="25">
        <v>1.121</v>
      </c>
      <c r="AH9" s="46">
        <f t="shared" si="6"/>
        <v>0.9192199999999999</v>
      </c>
      <c r="AI9" s="25">
        <v>32</v>
      </c>
      <c r="AJ9" s="59">
        <v>1</v>
      </c>
    </row>
    <row r="10" spans="1:36" ht="19.5" customHeight="1">
      <c r="A10" s="78" t="s">
        <v>168</v>
      </c>
      <c r="B10" s="25">
        <v>250</v>
      </c>
      <c r="C10" s="25">
        <v>3.2</v>
      </c>
      <c r="D10" s="25">
        <v>2.5</v>
      </c>
      <c r="E10" s="25">
        <v>7</v>
      </c>
      <c r="F10" s="25">
        <v>0.75</v>
      </c>
      <c r="G10" s="25">
        <v>6</v>
      </c>
      <c r="H10" s="25">
        <v>1.2</v>
      </c>
      <c r="I10" s="25">
        <v>1</v>
      </c>
      <c r="J10" s="25">
        <v>1</v>
      </c>
      <c r="K10" s="25">
        <v>1</v>
      </c>
      <c r="L10" s="55">
        <v>0.75</v>
      </c>
      <c r="M10" s="25">
        <v>6</v>
      </c>
      <c r="N10" s="55">
        <v>0.5</v>
      </c>
      <c r="O10" s="55">
        <v>1</v>
      </c>
      <c r="P10" s="55">
        <v>1</v>
      </c>
      <c r="Q10" s="25">
        <v>1</v>
      </c>
      <c r="R10" s="55">
        <v>1</v>
      </c>
      <c r="S10" s="25">
        <f t="shared" si="0"/>
        <v>19.2</v>
      </c>
      <c r="T10" s="25">
        <v>24</v>
      </c>
      <c r="U10" s="79">
        <f t="shared" si="1"/>
        <v>0.6028163580246914</v>
      </c>
      <c r="V10" s="47">
        <f>0.00323+0.00748*(U10-1)</f>
        <v>0.00025906635802469113</v>
      </c>
      <c r="W10" s="48">
        <f t="shared" si="2"/>
        <v>0.22846274882416237</v>
      </c>
      <c r="X10" s="46">
        <f t="shared" si="3"/>
        <v>0.8772969554847835</v>
      </c>
      <c r="Y10" s="25">
        <v>32</v>
      </c>
      <c r="Z10" s="25">
        <v>0.94</v>
      </c>
      <c r="AA10" s="25">
        <v>32</v>
      </c>
      <c r="AB10" s="108">
        <v>0.87</v>
      </c>
      <c r="AC10" s="25">
        <v>1.175</v>
      </c>
      <c r="AD10" s="46">
        <f t="shared" si="4"/>
        <v>1.02225</v>
      </c>
      <c r="AE10" s="25">
        <v>32</v>
      </c>
      <c r="AF10" s="101">
        <f t="shared" si="5"/>
        <v>0.87</v>
      </c>
      <c r="AG10" s="25">
        <v>1.121</v>
      </c>
      <c r="AH10" s="46">
        <f t="shared" si="6"/>
        <v>0.97527</v>
      </c>
      <c r="AI10" s="25">
        <v>32</v>
      </c>
      <c r="AJ10" s="59">
        <v>1.07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</sheetData>
  <mergeCells count="15">
    <mergeCell ref="A1:S1"/>
    <mergeCell ref="A2:A4"/>
    <mergeCell ref="C2:C3"/>
    <mergeCell ref="E2:R2"/>
    <mergeCell ref="I3:J3"/>
    <mergeCell ref="K3:L3"/>
    <mergeCell ref="M3:N3"/>
    <mergeCell ref="E3:F3"/>
    <mergeCell ref="O3:P3"/>
    <mergeCell ref="Q3:R3"/>
    <mergeCell ref="AA2:AD2"/>
    <mergeCell ref="AE2:AH2"/>
    <mergeCell ref="AI2:AJ2"/>
    <mergeCell ref="G3:H3"/>
    <mergeCell ref="Y2:Z2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5" sqref="B5"/>
    </sheetView>
  </sheetViews>
  <sheetFormatPr defaultColWidth="9.00390625" defaultRowHeight="24.75" customHeight="1"/>
  <cols>
    <col min="1" max="1" width="20.50390625" style="82" bestFit="1" customWidth="1"/>
    <col min="2" max="4" width="9.00390625" style="82" customWidth="1"/>
    <col min="5" max="5" width="10.25390625" style="82" bestFit="1" customWidth="1"/>
    <col min="6" max="6" width="13.875" style="82" bestFit="1" customWidth="1"/>
    <col min="7" max="9" width="9.00390625" style="82" customWidth="1"/>
    <col min="10" max="10" width="9.50390625" style="82" bestFit="1" customWidth="1"/>
    <col min="11" max="16384" width="9.00390625" style="82" customWidth="1"/>
  </cols>
  <sheetData>
    <row r="1" spans="1:7" ht="24.75" customHeight="1" thickBot="1">
      <c r="A1" s="449" t="s">
        <v>321</v>
      </c>
      <c r="B1" s="449"/>
      <c r="C1" s="449"/>
      <c r="D1" s="449"/>
      <c r="E1" s="449"/>
      <c r="F1" s="449"/>
      <c r="G1" s="449"/>
    </row>
    <row r="2" spans="1:12" ht="24.75" customHeight="1">
      <c r="A2" s="143" t="s">
        <v>308</v>
      </c>
      <c r="B2" s="144" t="s">
        <v>294</v>
      </c>
      <c r="C2" s="144" t="s">
        <v>318</v>
      </c>
      <c r="D2" s="144" t="s">
        <v>318</v>
      </c>
      <c r="E2" s="144" t="s">
        <v>296</v>
      </c>
      <c r="F2" s="144" t="s">
        <v>302</v>
      </c>
      <c r="G2" s="144" t="s">
        <v>318</v>
      </c>
      <c r="H2" s="144" t="s">
        <v>320</v>
      </c>
      <c r="I2" s="144" t="s">
        <v>319</v>
      </c>
      <c r="J2" s="144" t="s">
        <v>318</v>
      </c>
      <c r="K2" s="144" t="s">
        <v>313</v>
      </c>
      <c r="L2" s="145" t="s">
        <v>314</v>
      </c>
    </row>
    <row r="3" spans="1:12" ht="24.75" customHeight="1">
      <c r="A3" s="146"/>
      <c r="B3" s="140" t="s">
        <v>295</v>
      </c>
      <c r="C3" s="140" t="s">
        <v>298</v>
      </c>
      <c r="D3" s="140" t="s">
        <v>315</v>
      </c>
      <c r="E3" s="140" t="s">
        <v>297</v>
      </c>
      <c r="F3" s="140" t="s">
        <v>303</v>
      </c>
      <c r="G3" s="140" t="s">
        <v>305</v>
      </c>
      <c r="H3" s="140" t="s">
        <v>317</v>
      </c>
      <c r="I3" s="140" t="s">
        <v>306</v>
      </c>
      <c r="J3" s="140" t="s">
        <v>307</v>
      </c>
      <c r="K3" s="140"/>
      <c r="L3" s="147"/>
    </row>
    <row r="4" spans="1:12" ht="24.75" customHeight="1">
      <c r="A4" s="148"/>
      <c r="B4" s="141" t="s">
        <v>301</v>
      </c>
      <c r="C4" s="141" t="s">
        <v>300</v>
      </c>
      <c r="D4" s="141" t="s">
        <v>316</v>
      </c>
      <c r="E4" s="141" t="s">
        <v>299</v>
      </c>
      <c r="F4" s="141" t="s">
        <v>304</v>
      </c>
      <c r="G4" s="141" t="s">
        <v>300</v>
      </c>
      <c r="H4" s="141" t="s">
        <v>300</v>
      </c>
      <c r="I4" s="141" t="s">
        <v>300</v>
      </c>
      <c r="J4" s="141" t="s">
        <v>300</v>
      </c>
      <c r="K4" s="141" t="s">
        <v>300</v>
      </c>
      <c r="L4" s="149"/>
    </row>
    <row r="5" spans="1:12" ht="24.75" customHeight="1" thickBot="1">
      <c r="A5" s="150" t="s">
        <v>309</v>
      </c>
      <c r="B5" s="158">
        <f>200/3600</f>
        <v>0.05555555555555555</v>
      </c>
      <c r="C5" s="142">
        <v>0.25</v>
      </c>
      <c r="D5" s="156">
        <f>B5/(C5*C5*3.14159/4)</f>
        <v>1.1317694401737832</v>
      </c>
      <c r="E5" s="142">
        <v>140</v>
      </c>
      <c r="F5" s="142">
        <f>105*POWER(E5,-1.85)*POWER(C5,-4.87)*POWER(B5,1.85)</f>
        <v>0.04577522170249531</v>
      </c>
      <c r="G5" s="142">
        <v>100</v>
      </c>
      <c r="H5" s="156">
        <f>F5*G5/10</f>
        <v>0.4577522170249531</v>
      </c>
      <c r="I5" s="156">
        <f>H5*0.5</f>
        <v>0.22887610851247656</v>
      </c>
      <c r="J5" s="157">
        <f>H5+I5</f>
        <v>0.6866283255374297</v>
      </c>
      <c r="K5" s="153">
        <v>34</v>
      </c>
      <c r="L5" s="151"/>
    </row>
    <row r="6" spans="1:12" ht="24.75" customHeight="1" thickBot="1">
      <c r="A6" s="150" t="s">
        <v>310</v>
      </c>
      <c r="B6" s="142"/>
      <c r="C6" s="142"/>
      <c r="D6" s="156" t="e">
        <f>B6/(C6*C6*3.14159/4)</f>
        <v>#DIV/0!</v>
      </c>
      <c r="E6" s="142">
        <v>130</v>
      </c>
      <c r="F6" s="142" t="e">
        <f>105*POWER(E6,-1.85)*POWER(C6,-4.87)*POWER(B6,1.85)</f>
        <v>#DIV/0!</v>
      </c>
      <c r="G6" s="142"/>
      <c r="H6" s="156" t="e">
        <f>F6*G6/10</f>
        <v>#DIV/0!</v>
      </c>
      <c r="I6" s="156" t="e">
        <f>H6*0.5</f>
        <v>#DIV/0!</v>
      </c>
      <c r="J6" s="157" t="e">
        <f>H6+I6</f>
        <v>#DIV/0!</v>
      </c>
      <c r="K6" s="153">
        <v>35</v>
      </c>
      <c r="L6" s="151"/>
    </row>
    <row r="7" spans="1:12" ht="24.75" customHeight="1" thickBot="1">
      <c r="A7" s="150" t="s">
        <v>311</v>
      </c>
      <c r="B7" s="142"/>
      <c r="C7" s="142"/>
      <c r="D7" s="156" t="e">
        <f>B7/(C7*C7*3.14159/4)</f>
        <v>#DIV/0!</v>
      </c>
      <c r="E7" s="142">
        <v>130</v>
      </c>
      <c r="F7" s="142" t="e">
        <f>105*POWER(E7,-1.85)*POWER(C7,-4.87)*POWER(B7,1.85)</f>
        <v>#DIV/0!</v>
      </c>
      <c r="G7" s="142"/>
      <c r="H7" s="156" t="e">
        <f>F7*G7/10</f>
        <v>#DIV/0!</v>
      </c>
      <c r="I7" s="156" t="e">
        <f>H7*0.5</f>
        <v>#DIV/0!</v>
      </c>
      <c r="J7" s="157" t="e">
        <f>H7+I7</f>
        <v>#DIV/0!</v>
      </c>
      <c r="K7" s="153">
        <v>36</v>
      </c>
      <c r="L7" s="151"/>
    </row>
    <row r="8" spans="1:12" ht="24.75" customHeight="1" thickBot="1">
      <c r="A8" s="152" t="s">
        <v>312</v>
      </c>
      <c r="B8" s="153">
        <f>978.48/3600</f>
        <v>0.2718</v>
      </c>
      <c r="C8" s="153">
        <v>0.4</v>
      </c>
      <c r="D8" s="156">
        <f>B8/(C8*C8*3.14159/4)</f>
        <v>2.1629175035571158</v>
      </c>
      <c r="E8" s="153">
        <v>100</v>
      </c>
      <c r="F8" s="155">
        <f>105*POWER(E8,-1.85)*POWER(C8,-4.87)*POWER(B8,1.85)</f>
        <v>0.1631242876789594</v>
      </c>
      <c r="G8" s="153">
        <v>1500</v>
      </c>
      <c r="H8" s="156">
        <f>F8*G8/10</f>
        <v>24.46864315184391</v>
      </c>
      <c r="I8" s="156">
        <f>H8*0.5</f>
        <v>12.234321575921955</v>
      </c>
      <c r="J8" s="157">
        <f>H8+I8</f>
        <v>36.70296472776587</v>
      </c>
      <c r="K8" s="153">
        <v>37</v>
      </c>
      <c r="L8" s="154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O13" sqref="O13"/>
    </sheetView>
  </sheetViews>
  <sheetFormatPr defaultColWidth="9.00390625" defaultRowHeight="16.5"/>
  <cols>
    <col min="1" max="1" width="14.75390625" style="44" bestFit="1" customWidth="1"/>
    <col min="2" max="2" width="8.00390625" style="44" bestFit="1" customWidth="1"/>
    <col min="3" max="3" width="4.75390625" style="44" bestFit="1" customWidth="1"/>
    <col min="4" max="4" width="4.625" style="44" customWidth="1"/>
    <col min="5" max="12" width="4.75390625" style="44" hidden="1" customWidth="1"/>
    <col min="13" max="13" width="8.00390625" style="44" bestFit="1" customWidth="1"/>
    <col min="14" max="14" width="4.75390625" style="44" bestFit="1" customWidth="1"/>
    <col min="15" max="15" width="8.00390625" style="44" bestFit="1" customWidth="1"/>
    <col min="16" max="17" width="8.00390625" style="44" customWidth="1"/>
    <col min="18" max="18" width="6.375" style="44" bestFit="1" customWidth="1"/>
    <col min="19" max="19" width="6.375" style="92" hidden="1" customWidth="1"/>
    <col min="20" max="20" width="5.00390625" style="44" hidden="1" customWidth="1"/>
    <col min="21" max="21" width="8.00390625" style="98" hidden="1" customWidth="1"/>
    <col min="22" max="22" width="5.00390625" style="44" hidden="1" customWidth="1"/>
    <col min="23" max="23" width="8.00390625" style="98" hidden="1" customWidth="1"/>
    <col min="24" max="24" width="11.375" style="44" bestFit="1" customWidth="1"/>
    <col min="25" max="16384" width="9.00390625" style="44" customWidth="1"/>
  </cols>
  <sheetData>
    <row r="1" spans="1:13" ht="19.5" customHeight="1" thickBot="1">
      <c r="A1" s="443" t="s">
        <v>229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25" ht="19.5" customHeight="1">
      <c r="A2" s="444" t="s">
        <v>182</v>
      </c>
      <c r="B2" s="21" t="s">
        <v>183</v>
      </c>
      <c r="C2" s="21" t="s">
        <v>231</v>
      </c>
      <c r="D2" s="21" t="s">
        <v>184</v>
      </c>
      <c r="E2" s="438" t="s">
        <v>185</v>
      </c>
      <c r="F2" s="439"/>
      <c r="G2" s="439"/>
      <c r="H2" s="439"/>
      <c r="I2" s="439"/>
      <c r="J2" s="439"/>
      <c r="K2" s="439"/>
      <c r="L2" s="439"/>
      <c r="M2" s="21" t="s">
        <v>186</v>
      </c>
      <c r="N2" s="21" t="s">
        <v>187</v>
      </c>
      <c r="O2" s="21" t="s">
        <v>233</v>
      </c>
      <c r="P2" s="21" t="s">
        <v>188</v>
      </c>
      <c r="Q2" s="21" t="s">
        <v>186</v>
      </c>
      <c r="R2" s="21" t="s">
        <v>189</v>
      </c>
      <c r="S2" s="93"/>
      <c r="T2" s="438" t="s">
        <v>190</v>
      </c>
      <c r="U2" s="439"/>
      <c r="V2" s="438" t="s">
        <v>191</v>
      </c>
      <c r="W2" s="439"/>
      <c r="X2" s="21" t="s">
        <v>230</v>
      </c>
      <c r="Y2" s="130" t="s">
        <v>257</v>
      </c>
    </row>
    <row r="3" spans="1:25" ht="19.5" customHeight="1">
      <c r="A3" s="445"/>
      <c r="B3" s="22" t="s">
        <v>192</v>
      </c>
      <c r="C3" s="22" t="s">
        <v>232</v>
      </c>
      <c r="D3" s="22" t="s">
        <v>193</v>
      </c>
      <c r="E3" s="442" t="s">
        <v>194</v>
      </c>
      <c r="F3" s="442"/>
      <c r="G3" s="442" t="s">
        <v>195</v>
      </c>
      <c r="H3" s="442"/>
      <c r="I3" s="442" t="s">
        <v>196</v>
      </c>
      <c r="J3" s="442"/>
      <c r="K3" s="442" t="s">
        <v>197</v>
      </c>
      <c r="L3" s="442"/>
      <c r="M3" s="22" t="s">
        <v>198</v>
      </c>
      <c r="N3" s="22" t="s">
        <v>199</v>
      </c>
      <c r="O3" s="22" t="s">
        <v>234</v>
      </c>
      <c r="P3" s="22" t="s">
        <v>200</v>
      </c>
      <c r="Q3" s="22" t="s">
        <v>201</v>
      </c>
      <c r="R3" s="22" t="s">
        <v>202</v>
      </c>
      <c r="S3" s="94"/>
      <c r="T3" s="22" t="s">
        <v>203</v>
      </c>
      <c r="U3" s="99" t="s">
        <v>204</v>
      </c>
      <c r="V3" s="22" t="s">
        <v>203</v>
      </c>
      <c r="W3" s="120" t="s">
        <v>204</v>
      </c>
      <c r="X3" s="22" t="s">
        <v>262</v>
      </c>
      <c r="Y3" s="131" t="s">
        <v>169</v>
      </c>
    </row>
    <row r="4" spans="1:25" ht="19.5" customHeight="1">
      <c r="A4" s="446"/>
      <c r="B4" s="45" t="s">
        <v>205</v>
      </c>
      <c r="C4" s="102" t="s">
        <v>206</v>
      </c>
      <c r="D4" s="22" t="s">
        <v>207</v>
      </c>
      <c r="E4" s="25" t="s">
        <v>208</v>
      </c>
      <c r="F4" s="25" t="s">
        <v>209</v>
      </c>
      <c r="G4" s="25" t="s">
        <v>208</v>
      </c>
      <c r="H4" s="25" t="s">
        <v>209</v>
      </c>
      <c r="I4" s="25" t="s">
        <v>208</v>
      </c>
      <c r="J4" s="25" t="s">
        <v>209</v>
      </c>
      <c r="K4" s="25" t="s">
        <v>208</v>
      </c>
      <c r="L4" s="25" t="s">
        <v>209</v>
      </c>
      <c r="M4" s="22" t="s">
        <v>210</v>
      </c>
      <c r="N4" s="45" t="s">
        <v>211</v>
      </c>
      <c r="O4" s="45" t="s">
        <v>15</v>
      </c>
      <c r="P4" s="45" t="s">
        <v>212</v>
      </c>
      <c r="Q4" s="22" t="s">
        <v>200</v>
      </c>
      <c r="R4" s="45" t="s">
        <v>213</v>
      </c>
      <c r="S4" s="95"/>
      <c r="T4" s="45" t="s">
        <v>214</v>
      </c>
      <c r="U4" s="100" t="s">
        <v>215</v>
      </c>
      <c r="V4" s="45" t="s">
        <v>214</v>
      </c>
      <c r="W4" s="121" t="s">
        <v>215</v>
      </c>
      <c r="X4" s="64" t="s">
        <v>258</v>
      </c>
      <c r="Y4" s="132" t="s">
        <v>258</v>
      </c>
    </row>
    <row r="5" spans="1:25" ht="19.5" customHeight="1">
      <c r="A5" s="78" t="s">
        <v>216</v>
      </c>
      <c r="B5" s="25">
        <v>80</v>
      </c>
      <c r="C5" s="103">
        <v>3.5</v>
      </c>
      <c r="D5" s="25">
        <v>2.5</v>
      </c>
      <c r="E5" s="25">
        <v>1</v>
      </c>
      <c r="F5" s="25">
        <v>0.5</v>
      </c>
      <c r="G5" s="25">
        <v>0</v>
      </c>
      <c r="H5" s="25">
        <v>1</v>
      </c>
      <c r="I5" s="25">
        <v>1</v>
      </c>
      <c r="J5" s="25">
        <v>0.7</v>
      </c>
      <c r="K5" s="25">
        <v>1</v>
      </c>
      <c r="L5" s="55">
        <v>0.5</v>
      </c>
      <c r="M5" s="25">
        <f aca="true" t="shared" si="0" ref="M5:M17">E5*F5+G5*H5+I5*J5+K5*L5</f>
        <v>1.7</v>
      </c>
      <c r="N5" s="25">
        <v>24</v>
      </c>
      <c r="O5" s="79">
        <f aca="true" t="shared" si="1" ref="O5:O17">B5*C5*D5*100/(0.2*M5*N5*3600)</f>
        <v>2.382897603485839</v>
      </c>
      <c r="P5" s="47">
        <f>0.01097+0.0083*(O5-2)</f>
        <v>0.014148050108932463</v>
      </c>
      <c r="Q5" s="48">
        <f aca="true" t="shared" si="2" ref="Q5:Q17">(1+P5*POWER(M5-1,0.49))/SQRT(M5)</f>
        <v>0.7760760753140142</v>
      </c>
      <c r="R5" s="46">
        <f aca="true" t="shared" si="3" ref="R5:R17">0.2*Q5*M5</f>
        <v>0.26386586560676484</v>
      </c>
      <c r="S5" s="96">
        <f aca="true" t="shared" si="4" ref="S5:S17">R5*1.1</f>
        <v>0.29025245216744133</v>
      </c>
      <c r="T5" s="25">
        <v>25</v>
      </c>
      <c r="U5" s="118">
        <v>0.85</v>
      </c>
      <c r="V5" s="25">
        <v>20</v>
      </c>
      <c r="W5" s="118">
        <v>1.03</v>
      </c>
      <c r="X5" s="128">
        <f aca="true" t="shared" si="5" ref="X5:X17">R5*60</f>
        <v>15.83195193640589</v>
      </c>
      <c r="Y5" s="133" t="s">
        <v>328</v>
      </c>
    </row>
    <row r="6" spans="1:25" ht="19.5" customHeight="1">
      <c r="A6" s="78" t="s">
        <v>217</v>
      </c>
      <c r="B6" s="25">
        <v>80</v>
      </c>
      <c r="C6" s="103">
        <v>3.5</v>
      </c>
      <c r="D6" s="25">
        <v>2.5</v>
      </c>
      <c r="E6" s="25">
        <v>2</v>
      </c>
      <c r="F6" s="25">
        <v>0.5</v>
      </c>
      <c r="G6" s="25">
        <v>1</v>
      </c>
      <c r="H6" s="25">
        <v>1</v>
      </c>
      <c r="I6" s="25">
        <v>1</v>
      </c>
      <c r="J6" s="25">
        <v>0.7</v>
      </c>
      <c r="K6" s="25">
        <v>1</v>
      </c>
      <c r="L6" s="55">
        <v>0.5</v>
      </c>
      <c r="M6" s="25">
        <f t="shared" si="0"/>
        <v>3.2</v>
      </c>
      <c r="N6" s="25">
        <v>24</v>
      </c>
      <c r="O6" s="79">
        <f t="shared" si="1"/>
        <v>1.2659143518518516</v>
      </c>
      <c r="P6" s="47">
        <f>0.00323+0.00748*(O6-1)</f>
        <v>0.00521903935185185</v>
      </c>
      <c r="Q6" s="48">
        <f t="shared" si="2"/>
        <v>0.5633104076612552</v>
      </c>
      <c r="R6" s="46">
        <f t="shared" si="3"/>
        <v>0.3605186609032034</v>
      </c>
      <c r="S6" s="96">
        <f t="shared" si="4"/>
        <v>0.39657052699352374</v>
      </c>
      <c r="T6" s="25">
        <v>25</v>
      </c>
      <c r="U6" s="118">
        <v>1.2</v>
      </c>
      <c r="V6" s="25">
        <v>25</v>
      </c>
      <c r="W6" s="118">
        <v>0.8</v>
      </c>
      <c r="X6" s="129">
        <f t="shared" si="5"/>
        <v>21.631119654192204</v>
      </c>
      <c r="Y6" s="133" t="s">
        <v>330</v>
      </c>
    </row>
    <row r="7" spans="1:25" ht="19.5" customHeight="1">
      <c r="A7" s="78" t="s">
        <v>218</v>
      </c>
      <c r="B7" s="25">
        <v>80</v>
      </c>
      <c r="C7" s="103">
        <v>3.5</v>
      </c>
      <c r="D7" s="25">
        <v>2.5</v>
      </c>
      <c r="E7" s="25">
        <v>3</v>
      </c>
      <c r="F7" s="25">
        <v>0.5</v>
      </c>
      <c r="G7" s="25">
        <v>1</v>
      </c>
      <c r="H7" s="25">
        <v>1</v>
      </c>
      <c r="I7" s="25">
        <v>1</v>
      </c>
      <c r="J7" s="25">
        <v>0.7</v>
      </c>
      <c r="K7" s="25">
        <v>2</v>
      </c>
      <c r="L7" s="55">
        <v>0.5</v>
      </c>
      <c r="M7" s="25">
        <f t="shared" si="0"/>
        <v>4.2</v>
      </c>
      <c r="N7" s="25">
        <v>24</v>
      </c>
      <c r="O7" s="79">
        <f t="shared" si="1"/>
        <v>0.964506172839506</v>
      </c>
      <c r="P7" s="47">
        <f>O7*0.00323</f>
        <v>0.0031153549382716044</v>
      </c>
      <c r="Q7" s="48">
        <f t="shared" si="2"/>
        <v>0.49063789482609177</v>
      </c>
      <c r="R7" s="46">
        <f t="shared" si="3"/>
        <v>0.4121358316539171</v>
      </c>
      <c r="S7" s="96">
        <f t="shared" si="4"/>
        <v>0.45334941481930885</v>
      </c>
      <c r="T7" s="25">
        <v>32</v>
      </c>
      <c r="U7" s="118">
        <v>0.83</v>
      </c>
      <c r="V7" s="25">
        <v>25</v>
      </c>
      <c r="W7" s="118">
        <v>0.93</v>
      </c>
      <c r="X7" s="129">
        <f t="shared" si="5"/>
        <v>24.728149899235024</v>
      </c>
      <c r="Y7" s="133" t="s">
        <v>259</v>
      </c>
    </row>
    <row r="8" spans="1:25" ht="19.5" customHeight="1">
      <c r="A8" s="78" t="s">
        <v>219</v>
      </c>
      <c r="B8" s="25">
        <v>80</v>
      </c>
      <c r="C8" s="103">
        <v>4.5</v>
      </c>
      <c r="D8" s="25">
        <v>2.5</v>
      </c>
      <c r="E8" s="25">
        <v>5</v>
      </c>
      <c r="F8" s="25">
        <v>0.5</v>
      </c>
      <c r="G8" s="25">
        <v>3</v>
      </c>
      <c r="H8" s="25">
        <v>1</v>
      </c>
      <c r="I8" s="25">
        <v>1</v>
      </c>
      <c r="J8" s="25">
        <v>0.7</v>
      </c>
      <c r="K8" s="25">
        <v>2</v>
      </c>
      <c r="L8" s="55">
        <v>0.5</v>
      </c>
      <c r="M8" s="25">
        <f t="shared" si="0"/>
        <v>7.2</v>
      </c>
      <c r="N8" s="25">
        <v>24</v>
      </c>
      <c r="O8" s="79">
        <f t="shared" si="1"/>
        <v>0.7233796296296295</v>
      </c>
      <c r="P8" s="47">
        <f>O8*0.00323</f>
        <v>0.002336516203703703</v>
      </c>
      <c r="Q8" s="48">
        <f t="shared" si="2"/>
        <v>0.37480699044280513</v>
      </c>
      <c r="R8" s="46">
        <f t="shared" si="3"/>
        <v>0.5397220662376394</v>
      </c>
      <c r="S8" s="96">
        <f t="shared" si="4"/>
        <v>0.5936942728614034</v>
      </c>
      <c r="T8" s="25">
        <v>32</v>
      </c>
      <c r="U8" s="118">
        <v>1.01</v>
      </c>
      <c r="V8" s="25">
        <v>25</v>
      </c>
      <c r="W8" s="118">
        <v>1.13</v>
      </c>
      <c r="X8" s="129">
        <f t="shared" si="5"/>
        <v>32.38332397425837</v>
      </c>
      <c r="Y8" s="133" t="s">
        <v>259</v>
      </c>
    </row>
    <row r="9" spans="1:25" ht="19.5" customHeight="1">
      <c r="A9" s="78" t="s">
        <v>220</v>
      </c>
      <c r="B9" s="25">
        <v>80</v>
      </c>
      <c r="C9" s="103">
        <v>4.5</v>
      </c>
      <c r="D9" s="25">
        <v>2.5</v>
      </c>
      <c r="E9" s="25">
        <v>6</v>
      </c>
      <c r="F9" s="25">
        <v>0.5</v>
      </c>
      <c r="G9" s="25">
        <v>4</v>
      </c>
      <c r="H9" s="25">
        <v>1</v>
      </c>
      <c r="I9" s="25">
        <v>1</v>
      </c>
      <c r="J9" s="25">
        <v>0.7</v>
      </c>
      <c r="K9" s="25">
        <v>2</v>
      </c>
      <c r="L9" s="55">
        <v>0.5</v>
      </c>
      <c r="M9" s="25">
        <f t="shared" si="0"/>
        <v>8.7</v>
      </c>
      <c r="N9" s="25">
        <v>24</v>
      </c>
      <c r="O9" s="79">
        <f t="shared" si="1"/>
        <v>0.5986590038314177</v>
      </c>
      <c r="P9" s="47">
        <f>O9*0.00323</f>
        <v>0.001933668582375479</v>
      </c>
      <c r="Q9" s="48">
        <f t="shared" si="2"/>
        <v>0.34081414235673846</v>
      </c>
      <c r="R9" s="46">
        <f t="shared" si="3"/>
        <v>0.5930166077007248</v>
      </c>
      <c r="S9" s="96">
        <f t="shared" si="4"/>
        <v>0.6523182684707973</v>
      </c>
      <c r="T9" s="25">
        <v>32</v>
      </c>
      <c r="U9" s="118">
        <v>1.1</v>
      </c>
      <c r="V9" s="25">
        <v>32</v>
      </c>
      <c r="W9" s="118">
        <v>0.78</v>
      </c>
      <c r="X9" s="129">
        <f t="shared" si="5"/>
        <v>35.58099646204349</v>
      </c>
      <c r="Y9" s="133" t="s">
        <v>260</v>
      </c>
    </row>
    <row r="10" spans="1:25" ht="19.5" customHeight="1">
      <c r="A10" s="78" t="s">
        <v>221</v>
      </c>
      <c r="B10" s="25">
        <v>80</v>
      </c>
      <c r="C10" s="103">
        <v>4.5</v>
      </c>
      <c r="D10" s="25">
        <v>2.5</v>
      </c>
      <c r="E10" s="25">
        <v>7</v>
      </c>
      <c r="F10" s="25">
        <v>0.5</v>
      </c>
      <c r="G10" s="25">
        <v>5</v>
      </c>
      <c r="H10" s="25">
        <v>1</v>
      </c>
      <c r="I10" s="25">
        <v>1</v>
      </c>
      <c r="J10" s="25">
        <v>0.7</v>
      </c>
      <c r="K10" s="25">
        <v>2</v>
      </c>
      <c r="L10" s="55">
        <v>0.5</v>
      </c>
      <c r="M10" s="25">
        <f t="shared" si="0"/>
        <v>10.2</v>
      </c>
      <c r="N10" s="25">
        <v>24</v>
      </c>
      <c r="O10" s="79">
        <f t="shared" si="1"/>
        <v>0.5106209150326797</v>
      </c>
      <c r="P10" s="47">
        <f>O10*0.00323</f>
        <v>0.0016493055555555553</v>
      </c>
      <c r="Q10" s="48">
        <f t="shared" si="2"/>
        <v>0.31464413956720755</v>
      </c>
      <c r="R10" s="46">
        <f t="shared" si="3"/>
        <v>0.6418740447171033</v>
      </c>
      <c r="S10" s="96">
        <f t="shared" si="4"/>
        <v>0.7060614491888136</v>
      </c>
      <c r="T10" s="25">
        <v>32</v>
      </c>
      <c r="U10" s="118">
        <v>1.19</v>
      </c>
      <c r="V10" s="25">
        <v>32</v>
      </c>
      <c r="W10" s="118">
        <v>0.86</v>
      </c>
      <c r="X10" s="129">
        <f t="shared" si="5"/>
        <v>38.5124426830262</v>
      </c>
      <c r="Y10" s="133" t="s">
        <v>260</v>
      </c>
    </row>
    <row r="11" spans="1:25" ht="19.5" customHeight="1">
      <c r="A11" s="78" t="s">
        <v>222</v>
      </c>
      <c r="B11" s="25">
        <v>100</v>
      </c>
      <c r="C11" s="103">
        <v>6</v>
      </c>
      <c r="D11" s="25">
        <v>2.5</v>
      </c>
      <c r="E11" s="25">
        <v>5</v>
      </c>
      <c r="F11" s="25">
        <v>0.5</v>
      </c>
      <c r="G11" s="25">
        <v>3</v>
      </c>
      <c r="H11" s="25">
        <v>1</v>
      </c>
      <c r="I11" s="25">
        <v>1</v>
      </c>
      <c r="J11" s="25">
        <v>0.7</v>
      </c>
      <c r="K11" s="25">
        <v>2</v>
      </c>
      <c r="L11" s="55">
        <v>0.5</v>
      </c>
      <c r="M11" s="25">
        <f t="shared" si="0"/>
        <v>7.2</v>
      </c>
      <c r="N11" s="25">
        <v>24</v>
      </c>
      <c r="O11" s="79">
        <f t="shared" si="1"/>
        <v>1.2056327160493825</v>
      </c>
      <c r="P11" s="47">
        <f>0.00323+0.00748*(O11-1)</f>
        <v>0.004768132716049381</v>
      </c>
      <c r="Q11" s="48">
        <f t="shared" si="2"/>
        <v>0.37702263843437145</v>
      </c>
      <c r="R11" s="46">
        <f t="shared" si="3"/>
        <v>0.542912599345495</v>
      </c>
      <c r="S11" s="96">
        <f t="shared" si="4"/>
        <v>0.5972038592800445</v>
      </c>
      <c r="T11" s="25">
        <v>32</v>
      </c>
      <c r="U11" s="118">
        <v>1.03</v>
      </c>
      <c r="V11" s="25">
        <v>25</v>
      </c>
      <c r="W11" s="118">
        <v>1.15</v>
      </c>
      <c r="X11" s="129">
        <f t="shared" si="5"/>
        <v>32.574755960729696</v>
      </c>
      <c r="Y11" s="133" t="s">
        <v>260</v>
      </c>
    </row>
    <row r="12" spans="1:25" ht="19.5" customHeight="1">
      <c r="A12" s="78" t="s">
        <v>223</v>
      </c>
      <c r="B12" s="25">
        <v>100</v>
      </c>
      <c r="C12" s="103">
        <v>6</v>
      </c>
      <c r="D12" s="25">
        <v>2.5</v>
      </c>
      <c r="E12" s="25">
        <v>6</v>
      </c>
      <c r="F12" s="25">
        <v>0.5</v>
      </c>
      <c r="G12" s="25">
        <v>4</v>
      </c>
      <c r="H12" s="25">
        <v>1</v>
      </c>
      <c r="I12" s="25">
        <v>1</v>
      </c>
      <c r="J12" s="25">
        <v>0.7</v>
      </c>
      <c r="K12" s="25">
        <v>2</v>
      </c>
      <c r="L12" s="55">
        <v>0.5</v>
      </c>
      <c r="M12" s="25">
        <f t="shared" si="0"/>
        <v>8.7</v>
      </c>
      <c r="N12" s="25">
        <v>24</v>
      </c>
      <c r="O12" s="79">
        <f t="shared" si="1"/>
        <v>0.9977650063856961</v>
      </c>
      <c r="P12" s="47">
        <f aca="true" t="shared" si="6" ref="P12:P17">O12*0.00323</f>
        <v>0.0032227809706257982</v>
      </c>
      <c r="Q12" s="48">
        <f t="shared" si="2"/>
        <v>0.34200240272096066</v>
      </c>
      <c r="R12" s="46">
        <f t="shared" si="3"/>
        <v>0.5950841807344716</v>
      </c>
      <c r="S12" s="96">
        <f t="shared" si="4"/>
        <v>0.6545925988079188</v>
      </c>
      <c r="T12" s="25">
        <v>32</v>
      </c>
      <c r="U12" s="118">
        <v>1.1</v>
      </c>
      <c r="V12" s="25">
        <v>32</v>
      </c>
      <c r="W12" s="118">
        <v>0.8</v>
      </c>
      <c r="X12" s="129">
        <f t="shared" si="5"/>
        <v>35.705050844068296</v>
      </c>
      <c r="Y12" s="133" t="s">
        <v>260</v>
      </c>
    </row>
    <row r="13" spans="1:25" ht="19.5" customHeight="1">
      <c r="A13" s="78" t="s">
        <v>224</v>
      </c>
      <c r="B13" s="25">
        <v>100</v>
      </c>
      <c r="C13" s="103">
        <v>6</v>
      </c>
      <c r="D13" s="25">
        <v>2.5</v>
      </c>
      <c r="E13" s="25">
        <v>7</v>
      </c>
      <c r="F13" s="25">
        <v>0.5</v>
      </c>
      <c r="G13" s="25">
        <v>5</v>
      </c>
      <c r="H13" s="25">
        <v>1</v>
      </c>
      <c r="I13" s="25">
        <v>1</v>
      </c>
      <c r="J13" s="25">
        <v>0.7</v>
      </c>
      <c r="K13" s="25">
        <v>2</v>
      </c>
      <c r="L13" s="55">
        <v>0.5</v>
      </c>
      <c r="M13" s="25">
        <f t="shared" si="0"/>
        <v>10.2</v>
      </c>
      <c r="N13" s="25">
        <v>24</v>
      </c>
      <c r="O13" s="79">
        <f t="shared" si="1"/>
        <v>0.8510348583877996</v>
      </c>
      <c r="P13" s="47">
        <f t="shared" si="6"/>
        <v>0.0027488425925925927</v>
      </c>
      <c r="Q13" s="48">
        <f t="shared" si="2"/>
        <v>0.3156654689169627</v>
      </c>
      <c r="R13" s="46">
        <f t="shared" si="3"/>
        <v>0.6439575565906038</v>
      </c>
      <c r="S13" s="96">
        <f t="shared" si="4"/>
        <v>0.7083533122496642</v>
      </c>
      <c r="T13" s="25">
        <v>32</v>
      </c>
      <c r="U13" s="118">
        <v>1.19</v>
      </c>
      <c r="V13" s="25">
        <v>32</v>
      </c>
      <c r="W13" s="118">
        <v>0.87</v>
      </c>
      <c r="X13" s="129">
        <f t="shared" si="5"/>
        <v>38.63745339543623</v>
      </c>
      <c r="Y13" s="133" t="s">
        <v>260</v>
      </c>
    </row>
    <row r="14" spans="1:25" ht="19.5" customHeight="1">
      <c r="A14" s="78" t="s">
        <v>225</v>
      </c>
      <c r="B14" s="25">
        <v>100</v>
      </c>
      <c r="C14" s="103">
        <v>6</v>
      </c>
      <c r="D14" s="25">
        <v>2.5</v>
      </c>
      <c r="E14" s="25">
        <v>8</v>
      </c>
      <c r="F14" s="25">
        <v>0.5</v>
      </c>
      <c r="G14" s="25">
        <v>6</v>
      </c>
      <c r="H14" s="25">
        <v>1</v>
      </c>
      <c r="I14" s="25">
        <v>1</v>
      </c>
      <c r="J14" s="25">
        <v>0.7</v>
      </c>
      <c r="K14" s="25">
        <v>2</v>
      </c>
      <c r="L14" s="55">
        <v>0.5</v>
      </c>
      <c r="M14" s="25">
        <f t="shared" si="0"/>
        <v>11.7</v>
      </c>
      <c r="N14" s="25">
        <v>24</v>
      </c>
      <c r="O14" s="79">
        <f t="shared" si="1"/>
        <v>0.7419278252611586</v>
      </c>
      <c r="P14" s="47">
        <f t="shared" si="6"/>
        <v>0.0023964268755935422</v>
      </c>
      <c r="Q14" s="48">
        <f t="shared" si="2"/>
        <v>0.2945907206126307</v>
      </c>
      <c r="R14" s="46">
        <f t="shared" si="3"/>
        <v>0.6893422862335558</v>
      </c>
      <c r="S14" s="96">
        <f t="shared" si="4"/>
        <v>0.7582765148569114</v>
      </c>
      <c r="T14" s="25">
        <v>32</v>
      </c>
      <c r="U14" s="118">
        <v>1.26</v>
      </c>
      <c r="V14" s="25">
        <v>32</v>
      </c>
      <c r="W14" s="118">
        <v>0.93</v>
      </c>
      <c r="X14" s="129">
        <f t="shared" si="5"/>
        <v>41.360537174013345</v>
      </c>
      <c r="Y14" s="133" t="s">
        <v>261</v>
      </c>
    </row>
    <row r="15" spans="1:25" ht="19.5" customHeight="1">
      <c r="A15" s="78" t="s">
        <v>226</v>
      </c>
      <c r="B15" s="25">
        <v>100</v>
      </c>
      <c r="C15" s="103">
        <v>6</v>
      </c>
      <c r="D15" s="25">
        <v>2.5</v>
      </c>
      <c r="E15" s="25">
        <v>9</v>
      </c>
      <c r="F15" s="25">
        <v>0.5</v>
      </c>
      <c r="G15" s="25">
        <v>7</v>
      </c>
      <c r="H15" s="25">
        <v>1</v>
      </c>
      <c r="I15" s="25">
        <v>1</v>
      </c>
      <c r="J15" s="25">
        <v>0.7</v>
      </c>
      <c r="K15" s="25">
        <v>2</v>
      </c>
      <c r="L15" s="55">
        <v>0.5</v>
      </c>
      <c r="M15" s="25">
        <f t="shared" si="0"/>
        <v>13.2</v>
      </c>
      <c r="N15" s="25">
        <v>24</v>
      </c>
      <c r="O15" s="79">
        <f t="shared" si="1"/>
        <v>0.6576178451178452</v>
      </c>
      <c r="P15" s="47">
        <f t="shared" si="6"/>
        <v>0.00212410563973064</v>
      </c>
      <c r="Q15" s="48">
        <f t="shared" si="2"/>
        <v>0.2772325566252</v>
      </c>
      <c r="R15" s="46">
        <f t="shared" si="3"/>
        <v>0.731893949490528</v>
      </c>
      <c r="S15" s="96">
        <f t="shared" si="4"/>
        <v>0.8050833444395809</v>
      </c>
      <c r="T15" s="25">
        <v>40</v>
      </c>
      <c r="U15" s="118">
        <v>0.87</v>
      </c>
      <c r="V15" s="25">
        <v>32</v>
      </c>
      <c r="W15" s="118">
        <v>0.98</v>
      </c>
      <c r="X15" s="129">
        <f t="shared" si="5"/>
        <v>43.91363696943168</v>
      </c>
      <c r="Y15" s="133" t="s">
        <v>261</v>
      </c>
    </row>
    <row r="16" spans="1:25" ht="19.5" customHeight="1">
      <c r="A16" s="78" t="s">
        <v>227</v>
      </c>
      <c r="B16" s="25">
        <v>100</v>
      </c>
      <c r="C16" s="103">
        <v>6</v>
      </c>
      <c r="D16" s="25">
        <v>2.5</v>
      </c>
      <c r="E16" s="25">
        <v>10</v>
      </c>
      <c r="F16" s="25">
        <v>0.5</v>
      </c>
      <c r="G16" s="25">
        <v>8</v>
      </c>
      <c r="H16" s="25">
        <v>1</v>
      </c>
      <c r="I16" s="25">
        <v>1</v>
      </c>
      <c r="J16" s="25">
        <v>0.7</v>
      </c>
      <c r="K16" s="25">
        <v>2</v>
      </c>
      <c r="L16" s="55">
        <v>0.5</v>
      </c>
      <c r="M16" s="25">
        <f t="shared" si="0"/>
        <v>14.7</v>
      </c>
      <c r="N16" s="25">
        <v>24</v>
      </c>
      <c r="O16" s="79">
        <f t="shared" si="1"/>
        <v>0.5905139833711263</v>
      </c>
      <c r="P16" s="47">
        <f t="shared" si="6"/>
        <v>0.0019073601662887376</v>
      </c>
      <c r="Q16" s="48">
        <f t="shared" si="2"/>
        <v>0.2626140369765875</v>
      </c>
      <c r="R16" s="46">
        <f t="shared" si="3"/>
        <v>0.7720852687111672</v>
      </c>
      <c r="S16" s="96">
        <f t="shared" si="4"/>
        <v>0.849293795582284</v>
      </c>
      <c r="T16" s="25">
        <v>40</v>
      </c>
      <c r="U16" s="118">
        <v>0.93</v>
      </c>
      <c r="V16" s="25">
        <v>32</v>
      </c>
      <c r="W16" s="118">
        <v>1.08</v>
      </c>
      <c r="X16" s="129">
        <f t="shared" si="5"/>
        <v>46.32511612267003</v>
      </c>
      <c r="Y16" s="133" t="s">
        <v>261</v>
      </c>
    </row>
    <row r="17" spans="1:25" ht="19.5" customHeight="1" thickBot="1">
      <c r="A17" s="80" t="s">
        <v>228</v>
      </c>
      <c r="B17" s="49">
        <v>100</v>
      </c>
      <c r="C17" s="104">
        <v>6</v>
      </c>
      <c r="D17" s="49">
        <v>2.5</v>
      </c>
      <c r="E17" s="49">
        <v>11</v>
      </c>
      <c r="F17" s="49">
        <v>0.5</v>
      </c>
      <c r="G17" s="49">
        <v>9</v>
      </c>
      <c r="H17" s="49">
        <v>1</v>
      </c>
      <c r="I17" s="49">
        <v>1</v>
      </c>
      <c r="J17" s="49">
        <v>0.7</v>
      </c>
      <c r="K17" s="49">
        <v>2</v>
      </c>
      <c r="L17" s="60">
        <v>0.5</v>
      </c>
      <c r="M17" s="49">
        <f t="shared" si="0"/>
        <v>16.2</v>
      </c>
      <c r="N17" s="49">
        <v>24</v>
      </c>
      <c r="O17" s="81">
        <f t="shared" si="1"/>
        <v>0.5358367626886146</v>
      </c>
      <c r="P17" s="51">
        <f t="shared" si="6"/>
        <v>0.001730752743484225</v>
      </c>
      <c r="Q17" s="52">
        <f t="shared" si="2"/>
        <v>0.25008347421405946</v>
      </c>
      <c r="R17" s="50">
        <f t="shared" si="3"/>
        <v>0.8102704564535527</v>
      </c>
      <c r="S17" s="97">
        <f t="shared" si="4"/>
        <v>0.891297502098908</v>
      </c>
      <c r="T17" s="49">
        <v>40</v>
      </c>
      <c r="U17" s="119">
        <v>0.98</v>
      </c>
      <c r="V17" s="49">
        <v>32</v>
      </c>
      <c r="W17" s="119">
        <v>1.12</v>
      </c>
      <c r="X17" s="62">
        <f t="shared" si="5"/>
        <v>48.61622738721316</v>
      </c>
      <c r="Y17" s="134" t="s">
        <v>261</v>
      </c>
    </row>
    <row r="18" ht="19.5" customHeight="1"/>
    <row r="19" spans="1:25" ht="19.5" customHeight="1">
      <c r="A19" s="450" t="s">
        <v>291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</row>
    <row r="20" ht="19.5" customHeight="1"/>
    <row r="21" ht="19.5" customHeight="1"/>
    <row r="22" ht="19.5" customHeight="1"/>
    <row r="23" ht="19.5" customHeight="1"/>
  </sheetData>
  <mergeCells count="10">
    <mergeCell ref="A1:M1"/>
    <mergeCell ref="K3:L3"/>
    <mergeCell ref="A2:A4"/>
    <mergeCell ref="E2:L2"/>
    <mergeCell ref="E3:F3"/>
    <mergeCell ref="G3:H3"/>
    <mergeCell ref="A19:Y19"/>
    <mergeCell ref="T2:U2"/>
    <mergeCell ref="V2:W2"/>
    <mergeCell ref="I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D10" sqref="D10"/>
    </sheetView>
  </sheetViews>
  <sheetFormatPr defaultColWidth="9.00390625" defaultRowHeight="16.5"/>
  <cols>
    <col min="1" max="1" width="6.75390625" style="44" customWidth="1"/>
    <col min="2" max="2" width="8.00390625" style="44" bestFit="1" customWidth="1"/>
    <col min="3" max="4" width="4.75390625" style="44" bestFit="1" customWidth="1"/>
    <col min="5" max="5" width="8.00390625" style="44" bestFit="1" customWidth="1"/>
    <col min="6" max="6" width="4.75390625" style="44" bestFit="1" customWidth="1"/>
    <col min="7" max="7" width="9.625" style="44" customWidth="1"/>
    <col min="8" max="9" width="8.00390625" style="44" customWidth="1"/>
    <col min="10" max="10" width="6.375" style="44" bestFit="1" customWidth="1"/>
    <col min="11" max="12" width="5.00390625" style="44" bestFit="1" customWidth="1"/>
    <col min="13" max="13" width="8.50390625" style="44" hidden="1" customWidth="1"/>
    <col min="14" max="14" width="5.625" style="44" customWidth="1"/>
    <col min="15" max="15" width="8.00390625" style="44" hidden="1" customWidth="1"/>
    <col min="16" max="16" width="6.75390625" style="44" customWidth="1"/>
    <col min="17" max="17" width="5.00390625" style="44" bestFit="1" customWidth="1"/>
    <col min="18" max="18" width="6.75390625" style="44" customWidth="1"/>
    <col min="19" max="19" width="8.00390625" style="44" bestFit="1" customWidth="1"/>
    <col min="20" max="16384" width="9.00390625" style="44" customWidth="1"/>
  </cols>
  <sheetData>
    <row r="1" spans="1:7" ht="19.5" customHeight="1" thickBot="1">
      <c r="A1" s="437" t="s">
        <v>254</v>
      </c>
      <c r="B1" s="437"/>
      <c r="C1" s="437"/>
      <c r="D1" s="437"/>
      <c r="E1" s="437"/>
      <c r="F1" s="437"/>
      <c r="G1" s="437"/>
    </row>
    <row r="2" spans="1:19" ht="19.5" customHeight="1">
      <c r="A2" s="54" t="s">
        <v>292</v>
      </c>
      <c r="B2" s="21" t="s">
        <v>59</v>
      </c>
      <c r="C2" s="21" t="s">
        <v>231</v>
      </c>
      <c r="D2" s="21" t="s">
        <v>60</v>
      </c>
      <c r="E2" s="21" t="s">
        <v>19</v>
      </c>
      <c r="F2" s="21" t="s">
        <v>61</v>
      </c>
      <c r="G2" s="21" t="s">
        <v>3</v>
      </c>
      <c r="H2" s="21" t="s">
        <v>16</v>
      </c>
      <c r="I2" s="21" t="s">
        <v>19</v>
      </c>
      <c r="J2" s="21" t="s">
        <v>4</v>
      </c>
      <c r="K2" s="21" t="s">
        <v>5</v>
      </c>
      <c r="L2" s="21" t="s">
        <v>14</v>
      </c>
      <c r="M2" s="19" t="s">
        <v>49</v>
      </c>
      <c r="N2" s="21" t="s">
        <v>48</v>
      </c>
      <c r="O2" s="21" t="s">
        <v>106</v>
      </c>
      <c r="P2" s="19" t="s">
        <v>50</v>
      </c>
      <c r="Q2" s="19" t="s">
        <v>107</v>
      </c>
      <c r="R2" s="451" t="s">
        <v>24</v>
      </c>
      <c r="S2" s="452"/>
    </row>
    <row r="3" spans="1:19" ht="19.5" customHeight="1">
      <c r="A3" s="110" t="s">
        <v>293</v>
      </c>
      <c r="B3" s="22" t="s">
        <v>62</v>
      </c>
      <c r="C3" s="22" t="s">
        <v>53</v>
      </c>
      <c r="D3" s="22" t="s">
        <v>13</v>
      </c>
      <c r="E3" s="22" t="s">
        <v>63</v>
      </c>
      <c r="F3" s="22" t="s">
        <v>56</v>
      </c>
      <c r="G3" s="22" t="s">
        <v>16</v>
      </c>
      <c r="H3" s="22" t="s">
        <v>17</v>
      </c>
      <c r="I3" s="22" t="s">
        <v>18</v>
      </c>
      <c r="J3" s="22" t="s">
        <v>8</v>
      </c>
      <c r="K3" s="22"/>
      <c r="L3" s="22"/>
      <c r="M3" s="20" t="s">
        <v>51</v>
      </c>
      <c r="N3" s="22" t="s">
        <v>20</v>
      </c>
      <c r="O3" s="22" t="s">
        <v>108</v>
      </c>
      <c r="P3" s="20" t="s">
        <v>52</v>
      </c>
      <c r="Q3" s="20" t="s">
        <v>109</v>
      </c>
      <c r="R3" s="20" t="s">
        <v>110</v>
      </c>
      <c r="S3" s="63" t="s">
        <v>136</v>
      </c>
    </row>
    <row r="4" spans="1:19" ht="19.5" customHeight="1">
      <c r="A4" s="112"/>
      <c r="B4" s="45" t="s">
        <v>64</v>
      </c>
      <c r="C4" s="45" t="s">
        <v>65</v>
      </c>
      <c r="D4" s="22" t="s">
        <v>1</v>
      </c>
      <c r="E4" s="22" t="s">
        <v>6</v>
      </c>
      <c r="F4" s="45" t="s">
        <v>0</v>
      </c>
      <c r="G4" s="45" t="s">
        <v>15</v>
      </c>
      <c r="H4" s="45" t="s">
        <v>7</v>
      </c>
      <c r="I4" s="22" t="s">
        <v>17</v>
      </c>
      <c r="J4" s="45" t="s">
        <v>10</v>
      </c>
      <c r="K4" s="45" t="s">
        <v>11</v>
      </c>
      <c r="L4" s="45" t="s">
        <v>12</v>
      </c>
      <c r="M4" s="23" t="s">
        <v>26</v>
      </c>
      <c r="N4" s="45" t="s">
        <v>9</v>
      </c>
      <c r="O4" s="23" t="s">
        <v>26</v>
      </c>
      <c r="P4" s="23" t="s">
        <v>26</v>
      </c>
      <c r="Q4" s="23" t="s">
        <v>27</v>
      </c>
      <c r="R4" s="23" t="s">
        <v>26</v>
      </c>
      <c r="S4" s="53" t="s">
        <v>266</v>
      </c>
    </row>
    <row r="5" spans="1:19" ht="19.5" customHeight="1">
      <c r="A5" s="84" t="s">
        <v>263</v>
      </c>
      <c r="B5" s="25">
        <v>300</v>
      </c>
      <c r="C5" s="25">
        <f>5*7</f>
        <v>35</v>
      </c>
      <c r="D5" s="25">
        <v>2.5</v>
      </c>
      <c r="E5" s="25">
        <v>96.15</v>
      </c>
      <c r="F5" s="25">
        <v>24</v>
      </c>
      <c r="G5" s="79">
        <f>B5*C5*D5*100/(0.2*E5*F5*3600)</f>
        <v>1.5799243080834342</v>
      </c>
      <c r="H5" s="47">
        <v>0.0071</v>
      </c>
      <c r="I5" s="48">
        <f>(1+H5*POWER(E5-1,0.49))/SQRT(E5)</f>
        <v>0.10873087960395289</v>
      </c>
      <c r="J5" s="46">
        <f>0.2*I5*E5*1.1</f>
        <v>2.2999842962624157</v>
      </c>
      <c r="K5" s="25">
        <v>50</v>
      </c>
      <c r="L5" s="25">
        <v>0.87</v>
      </c>
      <c r="M5" s="25">
        <v>0.01529</v>
      </c>
      <c r="N5" s="46">
        <v>80</v>
      </c>
      <c r="O5" s="46">
        <v>3</v>
      </c>
      <c r="P5" s="25">
        <f>M5*N5*1.3</f>
        <v>1.5901600000000002</v>
      </c>
      <c r="Q5" s="18">
        <v>15</v>
      </c>
      <c r="R5" s="27">
        <f>P5+Q5-O5</f>
        <v>13.590160000000001</v>
      </c>
      <c r="S5" s="69">
        <f>J5*3.6</f>
        <v>8.279943466544697</v>
      </c>
    </row>
    <row r="6" spans="1:19" ht="19.5" customHeight="1">
      <c r="A6" s="84" t="s">
        <v>264</v>
      </c>
      <c r="B6" s="25">
        <v>300</v>
      </c>
      <c r="C6" s="25">
        <f>5*7</f>
        <v>35</v>
      </c>
      <c r="D6" s="25">
        <v>2.5</v>
      </c>
      <c r="E6" s="25">
        <v>96.15</v>
      </c>
      <c r="F6" s="25">
        <v>24</v>
      </c>
      <c r="G6" s="79">
        <f>B6*C6*D6*100/(0.2*E6*F6*3600)</f>
        <v>1.5799243080834342</v>
      </c>
      <c r="H6" s="47">
        <v>0.0071</v>
      </c>
      <c r="I6" s="48">
        <f>(1+H6*POWER(E6-1,0.49))/SQRT(E6)</f>
        <v>0.10873087960395289</v>
      </c>
      <c r="J6" s="46">
        <f>0.2*I6*E6*1.1</f>
        <v>2.2999842962624157</v>
      </c>
      <c r="K6" s="25">
        <v>50</v>
      </c>
      <c r="L6" s="25">
        <v>0.87</v>
      </c>
      <c r="M6" s="25">
        <v>0.01529</v>
      </c>
      <c r="N6" s="46">
        <v>80</v>
      </c>
      <c r="O6" s="46">
        <v>3</v>
      </c>
      <c r="P6" s="79">
        <f>M6*N6*1.3</f>
        <v>1.5901600000000002</v>
      </c>
      <c r="Q6" s="18">
        <v>15</v>
      </c>
      <c r="R6" s="27">
        <f>P6+Q6-O6</f>
        <v>13.590160000000001</v>
      </c>
      <c r="S6" s="69">
        <f>J6*3.6</f>
        <v>8.279943466544697</v>
      </c>
    </row>
    <row r="7" spans="1:19" ht="19.5" customHeight="1" thickBot="1">
      <c r="A7" s="85" t="s">
        <v>265</v>
      </c>
      <c r="B7" s="49">
        <v>300</v>
      </c>
      <c r="C7" s="49">
        <v>84</v>
      </c>
      <c r="D7" s="49">
        <v>2.5</v>
      </c>
      <c r="E7" s="49">
        <v>171.05</v>
      </c>
      <c r="F7" s="49">
        <v>24</v>
      </c>
      <c r="G7" s="81">
        <v>1.6547</v>
      </c>
      <c r="H7" s="51">
        <v>0.00821</v>
      </c>
      <c r="I7" s="52">
        <f>(1+H7*POWER(E7-1,0.49))/SQRT(E7)</f>
        <v>0.08423687540453113</v>
      </c>
      <c r="J7" s="50">
        <f>0.2*I7*E7*1.1</f>
        <v>3.1699178583479117</v>
      </c>
      <c r="K7" s="49">
        <v>50</v>
      </c>
      <c r="L7" s="49">
        <v>1.21</v>
      </c>
      <c r="M7" s="49">
        <v>0.02748</v>
      </c>
      <c r="N7" s="50">
        <v>80</v>
      </c>
      <c r="O7" s="50">
        <v>3</v>
      </c>
      <c r="P7" s="49">
        <f>M7*N7*1.3</f>
        <v>2.85792</v>
      </c>
      <c r="Q7" s="40">
        <v>15</v>
      </c>
      <c r="R7" s="41">
        <f>P7+Q7-O7</f>
        <v>14.85792</v>
      </c>
      <c r="S7" s="70">
        <f>J7*3.6</f>
        <v>11.411704290052482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</sheetData>
  <mergeCells count="2">
    <mergeCell ref="A1:G1"/>
    <mergeCell ref="R2:S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0">
      <selection activeCell="N21" sqref="N21"/>
    </sheetView>
  </sheetViews>
  <sheetFormatPr defaultColWidth="9.00390625" defaultRowHeight="18" customHeight="1"/>
  <cols>
    <col min="1" max="1" width="9.625" style="3" bestFit="1" customWidth="1"/>
    <col min="2" max="2" width="8.50390625" style="3" bestFit="1" customWidth="1"/>
    <col min="3" max="3" width="14.875" style="3" customWidth="1"/>
    <col min="4" max="4" width="6.125" style="3" customWidth="1"/>
    <col min="5" max="5" width="5.625" style="3" hidden="1" customWidth="1"/>
    <col min="6" max="6" width="6.50390625" style="3" customWidth="1"/>
    <col min="7" max="7" width="6.625" style="3" customWidth="1"/>
    <col min="8" max="9" width="6.75390625" style="3" hidden="1" customWidth="1"/>
    <col min="10" max="10" width="8.50390625" style="3" bestFit="1" customWidth="1"/>
    <col min="11" max="11" width="2.625" style="3" customWidth="1"/>
    <col min="12" max="12" width="0" style="3" hidden="1" customWidth="1"/>
    <col min="13" max="16384" width="9.00390625" style="3" customWidth="1"/>
  </cols>
  <sheetData>
    <row r="1" spans="1:6" ht="18" customHeight="1" hidden="1">
      <c r="A1" s="453" t="s">
        <v>137</v>
      </c>
      <c r="B1" s="454"/>
      <c r="C1" s="454"/>
      <c r="D1" s="454"/>
      <c r="E1" s="454"/>
      <c r="F1" s="454"/>
    </row>
    <row r="2" spans="1:16" ht="18" customHeight="1" hidden="1">
      <c r="A2" s="455" t="s">
        <v>31</v>
      </c>
      <c r="B2" s="458" t="s">
        <v>114</v>
      </c>
      <c r="C2" s="458"/>
      <c r="D2" s="458"/>
      <c r="E2" s="458"/>
      <c r="F2" s="458"/>
      <c r="G2" s="458"/>
      <c r="H2" s="458"/>
      <c r="I2" s="458"/>
      <c r="J2" s="459" t="s">
        <v>25</v>
      </c>
      <c r="K2" s="24"/>
      <c r="L2" s="24"/>
      <c r="M2" s="24"/>
      <c r="N2" s="24"/>
      <c r="O2" s="24"/>
      <c r="P2" s="24"/>
    </row>
    <row r="3" spans="1:16" ht="18" customHeight="1" hidden="1">
      <c r="A3" s="456"/>
      <c r="B3" s="462" t="s">
        <v>115</v>
      </c>
      <c r="C3" s="464" t="s">
        <v>116</v>
      </c>
      <c r="D3" s="74" t="s">
        <v>110</v>
      </c>
      <c r="E3" s="74" t="s">
        <v>112</v>
      </c>
      <c r="F3" s="74" t="s">
        <v>112</v>
      </c>
      <c r="G3" s="74" t="s">
        <v>117</v>
      </c>
      <c r="H3" s="74" t="s">
        <v>118</v>
      </c>
      <c r="I3" s="74" t="s">
        <v>119</v>
      </c>
      <c r="J3" s="460"/>
      <c r="K3" s="24"/>
      <c r="L3" s="24"/>
      <c r="M3" s="24"/>
      <c r="N3" s="24"/>
      <c r="O3" s="24"/>
      <c r="P3" s="24"/>
    </row>
    <row r="4" spans="1:16" ht="18" customHeight="1" hidden="1">
      <c r="A4" s="457"/>
      <c r="B4" s="463"/>
      <c r="C4" s="464"/>
      <c r="D4" s="23" t="s">
        <v>26</v>
      </c>
      <c r="E4" s="23" t="s">
        <v>113</v>
      </c>
      <c r="F4" s="23" t="s">
        <v>138</v>
      </c>
      <c r="G4" s="23" t="s">
        <v>111</v>
      </c>
      <c r="H4" s="23" t="s">
        <v>57</v>
      </c>
      <c r="I4" s="23" t="s">
        <v>57</v>
      </c>
      <c r="J4" s="461"/>
      <c r="K4" s="24"/>
      <c r="L4" s="24"/>
      <c r="M4" s="24"/>
      <c r="N4" s="24"/>
      <c r="O4" s="24"/>
      <c r="P4" s="24"/>
    </row>
    <row r="5" spans="1:16" ht="18" customHeight="1" hidden="1">
      <c r="A5" s="465" t="s">
        <v>139</v>
      </c>
      <c r="B5" s="18" t="s">
        <v>140</v>
      </c>
      <c r="C5" s="65" t="s">
        <v>141</v>
      </c>
      <c r="D5" s="18">
        <v>35</v>
      </c>
      <c r="E5" s="11">
        <v>5</v>
      </c>
      <c r="F5" s="11">
        <v>18</v>
      </c>
      <c r="G5" s="27">
        <v>5.5</v>
      </c>
      <c r="H5" s="86" t="s">
        <v>142</v>
      </c>
      <c r="I5" s="27">
        <v>650</v>
      </c>
      <c r="J5" s="468" t="s">
        <v>143</v>
      </c>
      <c r="K5" s="24"/>
      <c r="L5" s="24"/>
      <c r="M5" s="24"/>
      <c r="N5" s="24"/>
      <c r="O5" s="24"/>
      <c r="P5" s="24"/>
    </row>
    <row r="6" spans="1:16" ht="18" customHeight="1" hidden="1">
      <c r="A6" s="466"/>
      <c r="B6" s="18" t="s">
        <v>144</v>
      </c>
      <c r="C6" s="65" t="s">
        <v>145</v>
      </c>
      <c r="D6" s="18">
        <v>35</v>
      </c>
      <c r="E6" s="11">
        <v>10.5</v>
      </c>
      <c r="F6" s="11">
        <v>37</v>
      </c>
      <c r="G6" s="27">
        <v>7.5</v>
      </c>
      <c r="H6" s="86" t="s">
        <v>146</v>
      </c>
      <c r="I6" s="27">
        <v>650</v>
      </c>
      <c r="J6" s="469"/>
      <c r="K6" s="24"/>
      <c r="L6" s="24"/>
      <c r="M6" s="24"/>
      <c r="N6" s="24"/>
      <c r="O6" s="24"/>
      <c r="P6" s="24"/>
    </row>
    <row r="7" spans="1:16" ht="18" customHeight="1" hidden="1">
      <c r="A7" s="467"/>
      <c r="B7" s="40" t="s">
        <v>147</v>
      </c>
      <c r="C7" s="71" t="s">
        <v>145</v>
      </c>
      <c r="D7" s="40">
        <v>35</v>
      </c>
      <c r="E7" s="39">
        <v>10.5</v>
      </c>
      <c r="F7" s="39">
        <v>37</v>
      </c>
      <c r="G7" s="41">
        <v>7.5</v>
      </c>
      <c r="H7" s="87" t="s">
        <v>146</v>
      </c>
      <c r="I7" s="41">
        <v>650</v>
      </c>
      <c r="J7" s="470"/>
      <c r="K7" s="24"/>
      <c r="L7" s="24"/>
      <c r="M7" s="24"/>
      <c r="N7" s="24"/>
      <c r="O7" s="24"/>
      <c r="P7" s="24"/>
    </row>
    <row r="8" ht="18" customHeight="1" hidden="1"/>
    <row r="9" ht="18" customHeight="1" hidden="1"/>
    <row r="10" spans="1:6" ht="18" customHeight="1" thickBot="1">
      <c r="A10" s="454" t="s">
        <v>148</v>
      </c>
      <c r="B10" s="454"/>
      <c r="C10" s="454"/>
      <c r="D10" s="454"/>
      <c r="E10" s="454"/>
      <c r="F10" s="454"/>
    </row>
    <row r="11" spans="1:16" ht="18" customHeight="1">
      <c r="A11" s="54" t="s">
        <v>292</v>
      </c>
      <c r="B11" s="458" t="s">
        <v>114</v>
      </c>
      <c r="C11" s="458"/>
      <c r="D11" s="458"/>
      <c r="E11" s="458"/>
      <c r="F11" s="458"/>
      <c r="G11" s="458"/>
      <c r="H11" s="458"/>
      <c r="I11" s="458"/>
      <c r="J11" s="459" t="s">
        <v>25</v>
      </c>
      <c r="K11" s="24"/>
      <c r="L11" s="24"/>
      <c r="M11" s="24"/>
      <c r="N11" s="24"/>
      <c r="O11" s="24"/>
      <c r="P11" s="24"/>
    </row>
    <row r="12" spans="1:16" ht="18" customHeight="1">
      <c r="A12" s="110" t="s">
        <v>293</v>
      </c>
      <c r="B12" s="462" t="s">
        <v>115</v>
      </c>
      <c r="C12" s="464" t="s">
        <v>116</v>
      </c>
      <c r="D12" s="74" t="s">
        <v>110</v>
      </c>
      <c r="E12" s="74" t="s">
        <v>112</v>
      </c>
      <c r="F12" s="74" t="s">
        <v>112</v>
      </c>
      <c r="G12" s="74" t="s">
        <v>117</v>
      </c>
      <c r="H12" s="74" t="s">
        <v>118</v>
      </c>
      <c r="I12" s="74" t="s">
        <v>119</v>
      </c>
      <c r="J12" s="460"/>
      <c r="K12" s="24"/>
      <c r="L12" s="24"/>
      <c r="M12" s="24"/>
      <c r="N12" s="24"/>
      <c r="O12" s="24"/>
      <c r="P12" s="24"/>
    </row>
    <row r="13" spans="1:16" ht="18" customHeight="1">
      <c r="A13" s="112"/>
      <c r="B13" s="463"/>
      <c r="C13" s="464"/>
      <c r="D13" s="23" t="s">
        <v>26</v>
      </c>
      <c r="E13" s="23" t="s">
        <v>113</v>
      </c>
      <c r="F13" s="23" t="s">
        <v>138</v>
      </c>
      <c r="G13" s="23" t="s">
        <v>111</v>
      </c>
      <c r="H13" s="23" t="s">
        <v>57</v>
      </c>
      <c r="I13" s="23" t="s">
        <v>57</v>
      </c>
      <c r="J13" s="461"/>
      <c r="K13" s="24"/>
      <c r="L13" s="24"/>
      <c r="M13" s="24"/>
      <c r="N13" s="24"/>
      <c r="O13" s="24"/>
      <c r="P13" s="24"/>
    </row>
    <row r="14" spans="1:13" ht="18" customHeight="1">
      <c r="A14" s="471" t="s">
        <v>149</v>
      </c>
      <c r="B14" s="65" t="s">
        <v>150</v>
      </c>
      <c r="C14" s="65" t="s">
        <v>151</v>
      </c>
      <c r="D14" s="18">
        <v>25</v>
      </c>
      <c r="E14" s="18"/>
      <c r="F14" s="18">
        <v>36</v>
      </c>
      <c r="G14" s="18">
        <v>5.5</v>
      </c>
      <c r="H14" s="18"/>
      <c r="I14" s="18"/>
      <c r="J14" s="42" t="s">
        <v>152</v>
      </c>
      <c r="L14" s="88">
        <f>F14*0.1</f>
        <v>3.6</v>
      </c>
      <c r="M14" s="89"/>
    </row>
    <row r="15" spans="1:13" ht="18" customHeight="1">
      <c r="A15" s="456"/>
      <c r="B15" s="65" t="s">
        <v>120</v>
      </c>
      <c r="C15" s="65" t="s">
        <v>151</v>
      </c>
      <c r="D15" s="18">
        <v>25</v>
      </c>
      <c r="E15" s="18"/>
      <c r="F15" s="18">
        <v>36</v>
      </c>
      <c r="G15" s="18">
        <v>5.5</v>
      </c>
      <c r="H15" s="18"/>
      <c r="I15" s="18"/>
      <c r="J15" s="42" t="s">
        <v>152</v>
      </c>
      <c r="L15" s="88"/>
      <c r="M15" s="89"/>
    </row>
    <row r="16" spans="1:12" ht="18" customHeight="1">
      <c r="A16" s="457"/>
      <c r="B16" s="65" t="s">
        <v>121</v>
      </c>
      <c r="C16" s="65" t="s">
        <v>151</v>
      </c>
      <c r="D16" s="18">
        <v>25</v>
      </c>
      <c r="E16" s="18"/>
      <c r="F16" s="18">
        <v>36</v>
      </c>
      <c r="G16" s="18">
        <v>5.5</v>
      </c>
      <c r="H16" s="18"/>
      <c r="I16" s="18"/>
      <c r="J16" s="42" t="s">
        <v>153</v>
      </c>
      <c r="L16" s="88">
        <f aca="true" t="shared" si="0" ref="L16:L28">F16*0.1</f>
        <v>3.6</v>
      </c>
    </row>
    <row r="17" spans="1:14" ht="18" customHeight="1">
      <c r="A17" s="471" t="s">
        <v>154</v>
      </c>
      <c r="B17" s="65" t="s">
        <v>122</v>
      </c>
      <c r="C17" s="65" t="s">
        <v>155</v>
      </c>
      <c r="D17" s="18">
        <v>25</v>
      </c>
      <c r="E17" s="18"/>
      <c r="F17" s="18">
        <v>8</v>
      </c>
      <c r="G17" s="18">
        <v>2.2</v>
      </c>
      <c r="H17" s="18"/>
      <c r="I17" s="18"/>
      <c r="J17" s="42" t="s">
        <v>152</v>
      </c>
      <c r="L17" s="88">
        <f t="shared" si="0"/>
        <v>0.8</v>
      </c>
      <c r="N17" s="90"/>
    </row>
    <row r="18" spans="1:14" ht="18" customHeight="1">
      <c r="A18" s="457"/>
      <c r="B18" s="65" t="s">
        <v>123</v>
      </c>
      <c r="C18" s="65" t="s">
        <v>155</v>
      </c>
      <c r="D18" s="18">
        <v>25</v>
      </c>
      <c r="E18" s="18"/>
      <c r="F18" s="18">
        <v>8</v>
      </c>
      <c r="G18" s="18">
        <v>2.2</v>
      </c>
      <c r="H18" s="18"/>
      <c r="I18" s="18"/>
      <c r="J18" s="42" t="s">
        <v>152</v>
      </c>
      <c r="L18" s="88">
        <f t="shared" si="0"/>
        <v>0.8</v>
      </c>
      <c r="N18" s="89"/>
    </row>
    <row r="19" spans="1:12" ht="18" customHeight="1">
      <c r="A19" s="471" t="s">
        <v>156</v>
      </c>
      <c r="B19" s="65" t="s">
        <v>124</v>
      </c>
      <c r="C19" s="65" t="s">
        <v>155</v>
      </c>
      <c r="D19" s="18">
        <v>28</v>
      </c>
      <c r="E19" s="18"/>
      <c r="F19" s="18">
        <v>9</v>
      </c>
      <c r="G19" s="18">
        <v>2.2</v>
      </c>
      <c r="H19" s="18"/>
      <c r="I19" s="18"/>
      <c r="J19" s="42" t="s">
        <v>152</v>
      </c>
      <c r="L19" s="88">
        <f t="shared" si="0"/>
        <v>0.9</v>
      </c>
    </row>
    <row r="20" spans="1:12" ht="18" customHeight="1">
      <c r="A20" s="456"/>
      <c r="B20" s="65" t="s">
        <v>125</v>
      </c>
      <c r="C20" s="65" t="s">
        <v>155</v>
      </c>
      <c r="D20" s="18">
        <v>28</v>
      </c>
      <c r="E20" s="18"/>
      <c r="F20" s="18">
        <v>9</v>
      </c>
      <c r="G20" s="18">
        <v>2.2</v>
      </c>
      <c r="H20" s="18"/>
      <c r="I20" s="18"/>
      <c r="J20" s="42" t="s">
        <v>152</v>
      </c>
      <c r="L20" s="88">
        <f t="shared" si="0"/>
        <v>0.9</v>
      </c>
    </row>
    <row r="21" spans="1:12" ht="18" customHeight="1">
      <c r="A21" s="456"/>
      <c r="B21" s="65" t="s">
        <v>126</v>
      </c>
      <c r="C21" s="65" t="s">
        <v>151</v>
      </c>
      <c r="D21" s="18">
        <v>25</v>
      </c>
      <c r="E21" s="18"/>
      <c r="F21" s="18">
        <v>36</v>
      </c>
      <c r="G21" s="18">
        <v>5.5</v>
      </c>
      <c r="H21" s="18"/>
      <c r="I21" s="18"/>
      <c r="J21" s="42" t="s">
        <v>152</v>
      </c>
      <c r="L21" s="88"/>
    </row>
    <row r="22" spans="1:12" ht="18" customHeight="1">
      <c r="A22" s="457"/>
      <c r="B22" s="65" t="s">
        <v>127</v>
      </c>
      <c r="C22" s="65" t="s">
        <v>151</v>
      </c>
      <c r="D22" s="18">
        <v>25</v>
      </c>
      <c r="E22" s="18"/>
      <c r="F22" s="18">
        <v>36</v>
      </c>
      <c r="G22" s="18">
        <v>5.5</v>
      </c>
      <c r="H22" s="18"/>
      <c r="I22" s="18"/>
      <c r="J22" s="42" t="s">
        <v>153</v>
      </c>
      <c r="L22" s="88"/>
    </row>
    <row r="23" spans="1:12" ht="18" customHeight="1">
      <c r="A23" s="471" t="s">
        <v>157</v>
      </c>
      <c r="B23" s="65" t="s">
        <v>128</v>
      </c>
      <c r="C23" s="65" t="s">
        <v>155</v>
      </c>
      <c r="D23" s="18">
        <v>28</v>
      </c>
      <c r="E23" s="18"/>
      <c r="F23" s="18">
        <v>9</v>
      </c>
      <c r="G23" s="18">
        <v>2.2</v>
      </c>
      <c r="H23" s="18"/>
      <c r="I23" s="18"/>
      <c r="J23" s="42" t="s">
        <v>152</v>
      </c>
      <c r="L23" s="88">
        <f t="shared" si="0"/>
        <v>0.9</v>
      </c>
    </row>
    <row r="24" spans="1:12" ht="18" customHeight="1">
      <c r="A24" s="457"/>
      <c r="B24" s="65" t="s">
        <v>129</v>
      </c>
      <c r="C24" s="65" t="s">
        <v>155</v>
      </c>
      <c r="D24" s="18">
        <v>28</v>
      </c>
      <c r="E24" s="18"/>
      <c r="F24" s="18">
        <v>9</v>
      </c>
      <c r="G24" s="18">
        <v>2.2</v>
      </c>
      <c r="H24" s="18"/>
      <c r="I24" s="18"/>
      <c r="J24" s="42" t="s">
        <v>152</v>
      </c>
      <c r="L24" s="88">
        <f t="shared" si="0"/>
        <v>0.9</v>
      </c>
    </row>
    <row r="25" spans="1:12" ht="18" customHeight="1">
      <c r="A25" s="471" t="s">
        <v>158</v>
      </c>
      <c r="B25" s="65" t="s">
        <v>130</v>
      </c>
      <c r="C25" s="65" t="s">
        <v>155</v>
      </c>
      <c r="D25" s="18">
        <v>28</v>
      </c>
      <c r="E25" s="18"/>
      <c r="F25" s="18">
        <v>9</v>
      </c>
      <c r="G25" s="18">
        <v>2.2</v>
      </c>
      <c r="H25" s="18"/>
      <c r="I25" s="18"/>
      <c r="J25" s="42" t="s">
        <v>152</v>
      </c>
      <c r="L25" s="88">
        <f t="shared" si="0"/>
        <v>0.9</v>
      </c>
    </row>
    <row r="26" spans="1:12" ht="18" customHeight="1">
      <c r="A26" s="457"/>
      <c r="B26" s="65" t="s">
        <v>159</v>
      </c>
      <c r="C26" s="65" t="s">
        <v>155</v>
      </c>
      <c r="D26" s="18">
        <v>28</v>
      </c>
      <c r="E26" s="18"/>
      <c r="F26" s="18">
        <v>9</v>
      </c>
      <c r="G26" s="18">
        <v>2.2</v>
      </c>
      <c r="H26" s="18"/>
      <c r="I26" s="18"/>
      <c r="J26" s="42" t="s">
        <v>152</v>
      </c>
      <c r="L26" s="88">
        <f t="shared" si="0"/>
        <v>0.9</v>
      </c>
    </row>
    <row r="27" spans="1:12" ht="18" customHeight="1">
      <c r="A27" s="471" t="s">
        <v>160</v>
      </c>
      <c r="B27" s="65" t="s">
        <v>161</v>
      </c>
      <c r="C27" s="65" t="s">
        <v>162</v>
      </c>
      <c r="D27" s="18">
        <v>23</v>
      </c>
      <c r="E27" s="18"/>
      <c r="F27" s="18">
        <v>12</v>
      </c>
      <c r="G27" s="18">
        <v>1.5</v>
      </c>
      <c r="H27" s="18"/>
      <c r="I27" s="18"/>
      <c r="J27" s="42" t="s">
        <v>152</v>
      </c>
      <c r="L27" s="88">
        <f t="shared" si="0"/>
        <v>1.2000000000000002</v>
      </c>
    </row>
    <row r="28" spans="1:12" ht="18" customHeight="1">
      <c r="A28" s="457"/>
      <c r="B28" s="65" t="s">
        <v>163</v>
      </c>
      <c r="C28" s="65" t="s">
        <v>162</v>
      </c>
      <c r="D28" s="18">
        <v>23</v>
      </c>
      <c r="E28" s="18"/>
      <c r="F28" s="18">
        <v>12</v>
      </c>
      <c r="G28" s="18">
        <v>1.5</v>
      </c>
      <c r="H28" s="18"/>
      <c r="I28" s="18"/>
      <c r="J28" s="42" t="s">
        <v>152</v>
      </c>
      <c r="L28" s="88">
        <f t="shared" si="0"/>
        <v>1.2000000000000002</v>
      </c>
    </row>
  </sheetData>
  <mergeCells count="19">
    <mergeCell ref="A25:A26"/>
    <mergeCell ref="A27:A28"/>
    <mergeCell ref="A14:A16"/>
    <mergeCell ref="A17:A18"/>
    <mergeCell ref="A19:A22"/>
    <mergeCell ref="A23:A24"/>
    <mergeCell ref="A5:A7"/>
    <mergeCell ref="J5:J7"/>
    <mergeCell ref="A10:F10"/>
    <mergeCell ref="B11:I11"/>
    <mergeCell ref="J11:J13"/>
    <mergeCell ref="B12:B13"/>
    <mergeCell ref="C12:C13"/>
    <mergeCell ref="A1:F1"/>
    <mergeCell ref="A2:A4"/>
    <mergeCell ref="B2:I2"/>
    <mergeCell ref="J2:J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F8" sqref="F8"/>
    </sheetView>
  </sheetViews>
  <sheetFormatPr defaultColWidth="9.00390625" defaultRowHeight="24.75" customHeight="1"/>
  <cols>
    <col min="1" max="1" width="4.75390625" style="82" bestFit="1" customWidth="1"/>
    <col min="2" max="2" width="8.00390625" style="82" bestFit="1" customWidth="1"/>
    <col min="3" max="4" width="11.375" style="82" bestFit="1" customWidth="1"/>
    <col min="5" max="5" width="4.75390625" style="82" bestFit="1" customWidth="1"/>
    <col min="6" max="7" width="8.00390625" style="82" bestFit="1" customWidth="1"/>
    <col min="8" max="9" width="9.625" style="82" bestFit="1" customWidth="1"/>
    <col min="10" max="10" width="8.00390625" style="82" bestFit="1" customWidth="1"/>
    <col min="11" max="11" width="4.75390625" style="82" bestFit="1" customWidth="1"/>
    <col min="12" max="12" width="6.375" style="82" bestFit="1" customWidth="1"/>
    <col min="13" max="16384" width="9.00390625" style="82" customWidth="1"/>
  </cols>
  <sheetData>
    <row r="1" spans="1:12" ht="24.75" customHeight="1" thickBot="1">
      <c r="A1" s="472" t="s">
        <v>239</v>
      </c>
      <c r="B1" s="472"/>
      <c r="C1" s="472"/>
      <c r="D1" s="472"/>
      <c r="E1" s="472"/>
      <c r="F1" s="472"/>
      <c r="G1" s="472"/>
      <c r="H1" s="122"/>
      <c r="I1" s="122"/>
      <c r="J1" s="122"/>
      <c r="K1" s="122"/>
      <c r="L1" s="122"/>
    </row>
    <row r="2" spans="1:12" s="3" customFormat="1" ht="24.75" customHeight="1">
      <c r="A2" s="54" t="s">
        <v>253</v>
      </c>
      <c r="B2" s="72" t="s">
        <v>255</v>
      </c>
      <c r="C2" s="72" t="s">
        <v>237</v>
      </c>
      <c r="D2" s="72" t="s">
        <v>237</v>
      </c>
      <c r="E2" s="19" t="s">
        <v>96</v>
      </c>
      <c r="F2" s="19" t="s">
        <v>240</v>
      </c>
      <c r="G2" s="19" t="s">
        <v>241</v>
      </c>
      <c r="H2" s="19" t="s">
        <v>242</v>
      </c>
      <c r="I2" s="19" t="s">
        <v>243</v>
      </c>
      <c r="J2" s="19" t="s">
        <v>97</v>
      </c>
      <c r="K2" s="19" t="s">
        <v>98</v>
      </c>
      <c r="L2" s="37" t="s">
        <v>241</v>
      </c>
    </row>
    <row r="3" spans="1:12" s="3" customFormat="1" ht="24.75" customHeight="1">
      <c r="A3" s="110" t="s">
        <v>236</v>
      </c>
      <c r="B3" s="73" t="s">
        <v>256</v>
      </c>
      <c r="C3" s="73" t="s">
        <v>244</v>
      </c>
      <c r="D3" s="73" t="s">
        <v>238</v>
      </c>
      <c r="E3" s="20" t="s">
        <v>101</v>
      </c>
      <c r="F3" s="20" t="s">
        <v>245</v>
      </c>
      <c r="G3" s="20" t="s">
        <v>246</v>
      </c>
      <c r="H3" s="20" t="s">
        <v>247</v>
      </c>
      <c r="I3" s="20" t="s">
        <v>247</v>
      </c>
      <c r="J3" s="20" t="s">
        <v>100</v>
      </c>
      <c r="K3" s="20" t="s">
        <v>101</v>
      </c>
      <c r="L3" s="63" t="s">
        <v>248</v>
      </c>
    </row>
    <row r="4" spans="1:12" s="3" customFormat="1" ht="24.75" customHeight="1">
      <c r="A4" s="123"/>
      <c r="B4" s="124" t="s">
        <v>249</v>
      </c>
      <c r="C4" s="125" t="s">
        <v>250</v>
      </c>
      <c r="D4" s="124" t="s">
        <v>249</v>
      </c>
      <c r="E4" s="126"/>
      <c r="F4" s="126" t="s">
        <v>95</v>
      </c>
      <c r="G4" s="67" t="s">
        <v>251</v>
      </c>
      <c r="H4" s="67" t="s">
        <v>99</v>
      </c>
      <c r="I4" s="67" t="s">
        <v>99</v>
      </c>
      <c r="J4" s="126"/>
      <c r="K4" s="126"/>
      <c r="L4" s="68" t="s">
        <v>251</v>
      </c>
    </row>
    <row r="5" spans="1:12" s="3" customFormat="1" ht="24.75" customHeight="1" thickBot="1">
      <c r="A5" s="38" t="s">
        <v>235</v>
      </c>
      <c r="B5" s="115">
        <v>18</v>
      </c>
      <c r="C5" s="115">
        <v>50</v>
      </c>
      <c r="D5" s="115">
        <f>B5*C5/100</f>
        <v>9</v>
      </c>
      <c r="E5" s="91">
        <v>1.1</v>
      </c>
      <c r="F5" s="40">
        <v>8</v>
      </c>
      <c r="G5" s="39">
        <f>E5*D5/(4*F5)</f>
        <v>0.309375</v>
      </c>
      <c r="H5" s="39">
        <v>0.42</v>
      </c>
      <c r="I5" s="39">
        <v>0.57</v>
      </c>
      <c r="J5" s="39">
        <f>H5/I5</f>
        <v>0.736842105263158</v>
      </c>
      <c r="K5" s="40">
        <v>1.05</v>
      </c>
      <c r="L5" s="127">
        <f>K5*G5/(1-J5)</f>
        <v>1.2344062500000006</v>
      </c>
    </row>
    <row r="6" spans="1:12" s="3" customFormat="1" ht="24.75" customHeight="1">
      <c r="A6" s="373" t="s">
        <v>252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</sheetData>
  <mergeCells count="2">
    <mergeCell ref="A6:L6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11" sqref="G11"/>
    </sheetView>
  </sheetViews>
  <sheetFormatPr defaultColWidth="9.00390625" defaultRowHeight="19.5" customHeight="1"/>
  <cols>
    <col min="1" max="1" width="4.75390625" style="3" bestFit="1" customWidth="1"/>
    <col min="2" max="2" width="10.50390625" style="3" bestFit="1" customWidth="1"/>
    <col min="3" max="3" width="11.375" style="3" bestFit="1" customWidth="1"/>
    <col min="4" max="6" width="8.00390625" style="3" bestFit="1" customWidth="1"/>
    <col min="7" max="7" width="5.25390625" style="3" bestFit="1" customWidth="1"/>
    <col min="8" max="8" width="4.75390625" style="3" bestFit="1" customWidth="1"/>
    <col min="9" max="9" width="8.00390625" style="3" bestFit="1" customWidth="1"/>
    <col min="10" max="10" width="4.75390625" style="3" bestFit="1" customWidth="1"/>
    <col min="11" max="11" width="5.25390625" style="3" bestFit="1" customWidth="1"/>
    <col min="12" max="16384" width="9.00390625" style="3" customWidth="1"/>
  </cols>
  <sheetData>
    <row r="1" spans="1:11" ht="19.5" customHeight="1" thickBot="1">
      <c r="A1" s="473" t="s">
        <v>283</v>
      </c>
      <c r="B1" s="473"/>
      <c r="C1" s="473"/>
      <c r="D1" s="473"/>
      <c r="E1" s="473"/>
      <c r="F1" s="473"/>
      <c r="G1" s="473"/>
      <c r="H1" s="473"/>
      <c r="I1" s="116"/>
      <c r="J1" s="116"/>
      <c r="K1" s="116"/>
    </row>
    <row r="2" spans="1:11" ht="19.5" customHeight="1">
      <c r="A2" s="113" t="s">
        <v>282</v>
      </c>
      <c r="B2" s="19" t="s">
        <v>253</v>
      </c>
      <c r="C2" s="19" t="s">
        <v>271</v>
      </c>
      <c r="D2" s="19" t="s">
        <v>286</v>
      </c>
      <c r="E2" s="19" t="s">
        <v>284</v>
      </c>
      <c r="F2" s="19" t="s">
        <v>269</v>
      </c>
      <c r="G2" s="19" t="s">
        <v>273</v>
      </c>
      <c r="H2" s="19" t="s">
        <v>275</v>
      </c>
      <c r="I2" s="19" t="s">
        <v>277</v>
      </c>
      <c r="J2" s="19" t="s">
        <v>279</v>
      </c>
      <c r="K2" s="37" t="s">
        <v>279</v>
      </c>
    </row>
    <row r="3" spans="1:11" ht="19.5" customHeight="1">
      <c r="A3" s="117"/>
      <c r="B3" s="20" t="s">
        <v>290</v>
      </c>
      <c r="C3" s="20" t="s">
        <v>272</v>
      </c>
      <c r="D3" s="20" t="s">
        <v>285</v>
      </c>
      <c r="E3" s="20" t="s">
        <v>285</v>
      </c>
      <c r="F3" s="20" t="s">
        <v>270</v>
      </c>
      <c r="G3" s="20" t="s">
        <v>274</v>
      </c>
      <c r="H3" s="20" t="s">
        <v>276</v>
      </c>
      <c r="I3" s="20" t="s">
        <v>278</v>
      </c>
      <c r="J3" s="20" t="s">
        <v>281</v>
      </c>
      <c r="K3" s="63" t="s">
        <v>280</v>
      </c>
    </row>
    <row r="4" spans="1:11" ht="19.5" customHeight="1">
      <c r="A4" s="114"/>
      <c r="B4" s="23"/>
      <c r="C4" s="23" t="s">
        <v>102</v>
      </c>
      <c r="D4" s="23" t="s">
        <v>102</v>
      </c>
      <c r="E4" s="23" t="s">
        <v>102</v>
      </c>
      <c r="F4" s="23" t="s">
        <v>102</v>
      </c>
      <c r="G4" s="23" t="s">
        <v>102</v>
      </c>
      <c r="H4" s="23" t="s">
        <v>102</v>
      </c>
      <c r="I4" s="23" t="s">
        <v>102</v>
      </c>
      <c r="J4" s="23" t="s">
        <v>102</v>
      </c>
      <c r="K4" s="53" t="s">
        <v>102</v>
      </c>
    </row>
    <row r="5" spans="1:11" ht="19.5" customHeight="1">
      <c r="A5" s="26" t="s">
        <v>287</v>
      </c>
      <c r="B5" s="18" t="s">
        <v>103</v>
      </c>
      <c r="C5" s="18">
        <v>100</v>
      </c>
      <c r="D5" s="18">
        <v>90</v>
      </c>
      <c r="E5" s="18">
        <f>D5-3*8</f>
        <v>66</v>
      </c>
      <c r="F5" s="18"/>
      <c r="G5" s="18"/>
      <c r="H5" s="18"/>
      <c r="I5" s="18"/>
      <c r="J5" s="18">
        <f>C5-D5</f>
        <v>10</v>
      </c>
      <c r="K5" s="83">
        <f>C5-E5</f>
        <v>34</v>
      </c>
    </row>
    <row r="6" spans="1:11" ht="19.5" customHeight="1">
      <c r="A6" s="26" t="s">
        <v>288</v>
      </c>
      <c r="B6" s="18" t="s">
        <v>104</v>
      </c>
      <c r="C6" s="18"/>
      <c r="D6" s="18">
        <f>E5-3</f>
        <v>63</v>
      </c>
      <c r="E6" s="18">
        <f>D6-3*7</f>
        <v>42</v>
      </c>
      <c r="F6" s="18">
        <f>D6+2</f>
        <v>65</v>
      </c>
      <c r="G6" s="18">
        <f>C5-F6</f>
        <v>35</v>
      </c>
      <c r="H6" s="18">
        <v>13</v>
      </c>
      <c r="I6" s="18">
        <f>G6-H6</f>
        <v>22</v>
      </c>
      <c r="J6" s="18">
        <f>C5-D6-I6</f>
        <v>15</v>
      </c>
      <c r="K6" s="83">
        <f>C5-E6-I6</f>
        <v>36</v>
      </c>
    </row>
    <row r="7" spans="1:11" ht="19.5" customHeight="1" thickBot="1">
      <c r="A7" s="38" t="s">
        <v>289</v>
      </c>
      <c r="B7" s="40" t="s">
        <v>105</v>
      </c>
      <c r="C7" s="40"/>
      <c r="D7" s="40">
        <f>E6-3</f>
        <v>39</v>
      </c>
      <c r="E7" s="40">
        <f>D7-3*5</f>
        <v>24</v>
      </c>
      <c r="F7" s="40">
        <f>D7+2</f>
        <v>41</v>
      </c>
      <c r="G7" s="40">
        <f>C5-F7</f>
        <v>59</v>
      </c>
      <c r="H7" s="40">
        <v>20</v>
      </c>
      <c r="I7" s="40">
        <f>G7-H7</f>
        <v>39</v>
      </c>
      <c r="J7" s="40">
        <f>C5-D7-I7</f>
        <v>22</v>
      </c>
      <c r="K7" s="66">
        <f>C5-E7-I7</f>
        <v>37</v>
      </c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C13" sqref="C13"/>
    </sheetView>
  </sheetViews>
  <sheetFormatPr defaultColWidth="9.00390625" defaultRowHeight="19.5" customHeight="1"/>
  <cols>
    <col min="1" max="1" width="8.50390625" style="3" bestFit="1" customWidth="1"/>
    <col min="2" max="2" width="6.625" style="3" customWidth="1"/>
    <col min="3" max="4" width="5.00390625" style="3" bestFit="1" customWidth="1"/>
    <col min="5" max="5" width="8.50390625" style="3" bestFit="1" customWidth="1"/>
    <col min="6" max="6" width="5.00390625" style="3" bestFit="1" customWidth="1"/>
    <col min="7" max="7" width="6.75390625" style="3" bestFit="1" customWidth="1"/>
    <col min="8" max="8" width="8.50390625" style="3" bestFit="1" customWidth="1"/>
    <col min="9" max="9" width="5.00390625" style="3" bestFit="1" customWidth="1"/>
    <col min="10" max="10" width="7.125" style="3" customWidth="1"/>
    <col min="11" max="11" width="6.375" style="3" bestFit="1" customWidth="1"/>
    <col min="12" max="12" width="2.625" style="3" customWidth="1"/>
    <col min="13" max="16384" width="9.00390625" style="3" customWidth="1"/>
  </cols>
  <sheetData>
    <row r="1" spans="1:7" ht="19.5" customHeight="1" thickBot="1">
      <c r="A1" s="362" t="s">
        <v>35</v>
      </c>
      <c r="B1" s="362"/>
      <c r="C1" s="362"/>
      <c r="D1" s="362"/>
      <c r="E1" s="362"/>
      <c r="F1" s="362"/>
      <c r="G1" s="362"/>
    </row>
    <row r="2" spans="1:21" ht="19.5" customHeight="1">
      <c r="A2" s="54" t="s">
        <v>292</v>
      </c>
      <c r="B2" s="19" t="s">
        <v>267</v>
      </c>
      <c r="C2" s="19" t="s">
        <v>23</v>
      </c>
      <c r="D2" s="19" t="s">
        <v>22</v>
      </c>
      <c r="E2" s="19" t="s">
        <v>37</v>
      </c>
      <c r="F2" s="19" t="s">
        <v>39</v>
      </c>
      <c r="G2" s="19" t="s">
        <v>41</v>
      </c>
      <c r="H2" s="19" t="s">
        <v>43</v>
      </c>
      <c r="I2" s="19" t="s">
        <v>45</v>
      </c>
      <c r="J2" s="451" t="s">
        <v>24</v>
      </c>
      <c r="K2" s="452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9.5" customHeight="1">
      <c r="A3" s="110" t="s">
        <v>293</v>
      </c>
      <c r="B3" s="20" t="s">
        <v>268</v>
      </c>
      <c r="C3" s="20"/>
      <c r="D3" s="20"/>
      <c r="E3" s="20" t="s">
        <v>36</v>
      </c>
      <c r="F3" s="20" t="s">
        <v>40</v>
      </c>
      <c r="G3" s="20" t="s">
        <v>42</v>
      </c>
      <c r="H3" s="20" t="s">
        <v>44</v>
      </c>
      <c r="I3" s="20" t="s">
        <v>46</v>
      </c>
      <c r="J3" s="20" t="s">
        <v>47</v>
      </c>
      <c r="K3" s="63" t="s">
        <v>112</v>
      </c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9.5" customHeight="1">
      <c r="A4" s="112"/>
      <c r="B4" s="23" t="s">
        <v>58</v>
      </c>
      <c r="C4" s="23" t="s">
        <v>29</v>
      </c>
      <c r="D4" s="23" t="s">
        <v>28</v>
      </c>
      <c r="E4" s="23" t="s">
        <v>38</v>
      </c>
      <c r="F4" s="23" t="s">
        <v>30</v>
      </c>
      <c r="G4" s="23" t="s">
        <v>30</v>
      </c>
      <c r="H4" s="23" t="s">
        <v>30</v>
      </c>
      <c r="I4" s="23" t="s">
        <v>27</v>
      </c>
      <c r="J4" s="23" t="s">
        <v>38</v>
      </c>
      <c r="K4" s="53" t="s">
        <v>58</v>
      </c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9.5" customHeight="1">
      <c r="A5" s="26" t="s">
        <v>32</v>
      </c>
      <c r="B5" s="11">
        <v>10</v>
      </c>
      <c r="C5" s="18">
        <v>100</v>
      </c>
      <c r="D5" s="18">
        <v>1.5</v>
      </c>
      <c r="E5" s="18">
        <v>0.048</v>
      </c>
      <c r="F5" s="18">
        <v>400</v>
      </c>
      <c r="G5" s="11">
        <f>E5*F5*1.2</f>
        <v>23.04</v>
      </c>
      <c r="H5" s="18">
        <v>100</v>
      </c>
      <c r="I5" s="18">
        <v>5</v>
      </c>
      <c r="J5" s="27">
        <f>G5+H5+I5</f>
        <v>128.04</v>
      </c>
      <c r="K5" s="42">
        <f>B5</f>
        <v>10</v>
      </c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9.5" customHeight="1">
      <c r="A6" s="26" t="s">
        <v>33</v>
      </c>
      <c r="B6" s="11">
        <v>20</v>
      </c>
      <c r="C6" s="18">
        <v>150</v>
      </c>
      <c r="D6" s="18">
        <v>1.5</v>
      </c>
      <c r="E6" s="18">
        <v>0.014</v>
      </c>
      <c r="F6" s="18">
        <v>500</v>
      </c>
      <c r="G6" s="11">
        <f>E6*F6*1.2</f>
        <v>8.4</v>
      </c>
      <c r="H6" s="18">
        <v>100</v>
      </c>
      <c r="I6" s="18">
        <v>5</v>
      </c>
      <c r="J6" s="27">
        <f>G6+H6+I6</f>
        <v>113.4</v>
      </c>
      <c r="K6" s="42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9.5" customHeight="1" thickBot="1">
      <c r="A7" s="38" t="s">
        <v>34</v>
      </c>
      <c r="B7" s="39">
        <v>30</v>
      </c>
      <c r="C7" s="40">
        <v>200</v>
      </c>
      <c r="D7" s="40">
        <v>1.5</v>
      </c>
      <c r="E7" s="40">
        <v>0.014</v>
      </c>
      <c r="F7" s="40">
        <v>500</v>
      </c>
      <c r="G7" s="39">
        <f>E7*F7*1.2</f>
        <v>8.4</v>
      </c>
      <c r="H7" s="40">
        <v>100</v>
      </c>
      <c r="I7" s="40">
        <v>5</v>
      </c>
      <c r="J7" s="41">
        <f>G7+H7+I7</f>
        <v>113.4</v>
      </c>
      <c r="K7" s="43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9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</sheetData>
  <mergeCells count="2">
    <mergeCell ref="J2:K2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F4">
      <selection activeCell="H8" sqref="H8"/>
    </sheetView>
  </sheetViews>
  <sheetFormatPr defaultColWidth="15.625" defaultRowHeight="19.5" customHeight="1"/>
  <cols>
    <col min="1" max="1" width="4.75390625" style="3" bestFit="1" customWidth="1"/>
    <col min="2" max="2" width="10.125" style="3" bestFit="1" customWidth="1"/>
    <col min="3" max="3" width="4.75390625" style="3" bestFit="1" customWidth="1"/>
    <col min="4" max="4" width="13.375" style="3" customWidth="1"/>
    <col min="5" max="5" width="4.75390625" style="3" bestFit="1" customWidth="1"/>
    <col min="6" max="6" width="6.375" style="3" bestFit="1" customWidth="1"/>
    <col min="7" max="7" width="20.125" style="139" bestFit="1" customWidth="1"/>
    <col min="8" max="8" width="8.00390625" style="3" bestFit="1" customWidth="1"/>
    <col min="9" max="9" width="6.375" style="3" bestFit="1" customWidth="1"/>
    <col min="10" max="13" width="7.625" style="3" customWidth="1"/>
    <col min="14" max="16384" width="15.625" style="3" customWidth="1"/>
  </cols>
  <sheetData>
    <row r="1" spans="1:9" s="17" customFormat="1" ht="18" customHeight="1" thickBot="1">
      <c r="A1" s="362" t="s">
        <v>631</v>
      </c>
      <c r="B1" s="362"/>
      <c r="C1" s="362"/>
      <c r="D1" s="362"/>
      <c r="E1" s="362"/>
      <c r="F1" s="362"/>
      <c r="G1" s="362"/>
      <c r="H1" s="362"/>
      <c r="I1" s="362"/>
    </row>
    <row r="2" spans="1:13" ht="18" customHeight="1">
      <c r="A2" s="354" t="s">
        <v>331</v>
      </c>
      <c r="B2" s="355"/>
      <c r="C2" s="355"/>
      <c r="D2" s="355"/>
      <c r="E2" s="381" t="s">
        <v>358</v>
      </c>
      <c r="F2" s="374" t="s">
        <v>357</v>
      </c>
      <c r="G2" s="379" t="s">
        <v>366</v>
      </c>
      <c r="H2" s="377" t="s">
        <v>360</v>
      </c>
      <c r="I2" s="28" t="s">
        <v>361</v>
      </c>
      <c r="J2" s="28" t="s">
        <v>21</v>
      </c>
      <c r="K2" s="28" t="s">
        <v>363</v>
      </c>
      <c r="L2" s="28" t="s">
        <v>21</v>
      </c>
      <c r="M2" s="29" t="s">
        <v>363</v>
      </c>
    </row>
    <row r="3" spans="1:13" ht="18" customHeight="1">
      <c r="A3" s="356"/>
      <c r="B3" s="357"/>
      <c r="C3" s="357"/>
      <c r="D3" s="357"/>
      <c r="E3" s="352"/>
      <c r="F3" s="375"/>
      <c r="G3" s="380"/>
      <c r="H3" s="378"/>
      <c r="I3" s="4" t="s">
        <v>362</v>
      </c>
      <c r="J3" s="4" t="s">
        <v>364</v>
      </c>
      <c r="K3" s="4" t="s">
        <v>364</v>
      </c>
      <c r="L3" s="4" t="s">
        <v>365</v>
      </c>
      <c r="M3" s="30" t="s">
        <v>365</v>
      </c>
    </row>
    <row r="4" spans="1:13" ht="18" customHeight="1">
      <c r="A4" s="358" t="s">
        <v>332</v>
      </c>
      <c r="B4" s="5" t="s">
        <v>368</v>
      </c>
      <c r="C4" s="5" t="s">
        <v>367</v>
      </c>
      <c r="D4" s="5" t="s">
        <v>359</v>
      </c>
      <c r="E4" s="353"/>
      <c r="F4" s="376"/>
      <c r="G4" s="135" t="s">
        <v>333</v>
      </c>
      <c r="H4" s="7" t="s">
        <v>2</v>
      </c>
      <c r="I4" s="6"/>
      <c r="J4" s="6" t="s">
        <v>334</v>
      </c>
      <c r="K4" s="6" t="s">
        <v>335</v>
      </c>
      <c r="L4" s="6" t="s">
        <v>334</v>
      </c>
      <c r="M4" s="31" t="s">
        <v>335</v>
      </c>
    </row>
    <row r="5" spans="1:13" ht="18" customHeight="1">
      <c r="A5" s="359"/>
      <c r="B5" s="162" t="s">
        <v>499</v>
      </c>
      <c r="C5" s="5">
        <v>92</v>
      </c>
      <c r="D5" s="5">
        <v>3.2</v>
      </c>
      <c r="E5" s="8" t="s">
        <v>336</v>
      </c>
      <c r="F5" s="9">
        <f>C5*D5</f>
        <v>294.40000000000003</v>
      </c>
      <c r="G5" s="136">
        <v>250</v>
      </c>
      <c r="H5" s="10">
        <v>24</v>
      </c>
      <c r="I5" s="1">
        <v>2.5</v>
      </c>
      <c r="J5" s="2">
        <f>F5*G5/1000</f>
        <v>73.60000000000001</v>
      </c>
      <c r="K5" s="1">
        <f>J5/H5*I5</f>
        <v>7.666666666666667</v>
      </c>
      <c r="L5" s="1">
        <f>J5*0.9</f>
        <v>66.24000000000001</v>
      </c>
      <c r="M5" s="75">
        <f>K5*0.9</f>
        <v>6.9</v>
      </c>
    </row>
    <row r="6" spans="1:13" ht="18" customHeight="1">
      <c r="A6" s="359"/>
      <c r="B6" s="363" t="s">
        <v>337</v>
      </c>
      <c r="C6" s="366"/>
      <c r="D6" s="364"/>
      <c r="E6" s="5" t="s">
        <v>338</v>
      </c>
      <c r="F6" s="9">
        <v>3000</v>
      </c>
      <c r="G6" s="136">
        <v>2</v>
      </c>
      <c r="H6" s="10">
        <v>8</v>
      </c>
      <c r="I6" s="1">
        <v>1</v>
      </c>
      <c r="J6" s="2">
        <f>F6*G6/1000</f>
        <v>6</v>
      </c>
      <c r="K6" s="1">
        <f>J6/H6*I6</f>
        <v>0.75</v>
      </c>
      <c r="L6" s="1">
        <f>J6*1</f>
        <v>6</v>
      </c>
      <c r="M6" s="75">
        <f>K6*1</f>
        <v>0.75</v>
      </c>
    </row>
    <row r="7" spans="1:13" ht="18" customHeight="1">
      <c r="A7" s="360"/>
      <c r="B7" s="365" t="s">
        <v>351</v>
      </c>
      <c r="C7" s="365"/>
      <c r="D7" s="365"/>
      <c r="E7" s="13"/>
      <c r="F7" s="14"/>
      <c r="G7" s="136"/>
      <c r="H7" s="10"/>
      <c r="I7" s="1"/>
      <c r="J7" s="1">
        <f>SUM(J5:J6)</f>
        <v>79.60000000000001</v>
      </c>
      <c r="K7" s="1">
        <f>SUM(K5:K6)</f>
        <v>8.416666666666668</v>
      </c>
      <c r="L7" s="1">
        <f>SUM(L5:L6)</f>
        <v>72.24000000000001</v>
      </c>
      <c r="M7" s="32">
        <f>SUM(M5:M6)</f>
        <v>7.65</v>
      </c>
    </row>
    <row r="8" spans="1:13" ht="18" customHeight="1">
      <c r="A8" s="359" t="s">
        <v>629</v>
      </c>
      <c r="B8" s="366" t="s">
        <v>369</v>
      </c>
      <c r="C8" s="366"/>
      <c r="D8" s="364"/>
      <c r="E8" s="5" t="s">
        <v>339</v>
      </c>
      <c r="F8" s="14">
        <v>5000</v>
      </c>
      <c r="G8" s="136">
        <v>5</v>
      </c>
      <c r="H8" s="10">
        <v>12</v>
      </c>
      <c r="I8" s="1">
        <v>1.5</v>
      </c>
      <c r="J8" s="1">
        <f>F8*G8/1000</f>
        <v>25</v>
      </c>
      <c r="K8" s="1">
        <f>J8/H8*I8</f>
        <v>3.125</v>
      </c>
      <c r="L8" s="1">
        <f aca="true" t="shared" si="0" ref="L8:M11">J8*1</f>
        <v>25</v>
      </c>
      <c r="M8" s="75">
        <f t="shared" si="0"/>
        <v>3.125</v>
      </c>
    </row>
    <row r="9" spans="1:13" ht="18" customHeight="1">
      <c r="A9" s="359"/>
      <c r="B9" s="366" t="s">
        <v>344</v>
      </c>
      <c r="C9" s="366"/>
      <c r="D9" s="364"/>
      <c r="E9" s="5" t="s">
        <v>339</v>
      </c>
      <c r="F9" s="9">
        <v>2500</v>
      </c>
      <c r="G9" s="136">
        <v>2</v>
      </c>
      <c r="H9" s="10">
        <v>8</v>
      </c>
      <c r="I9" s="1">
        <v>1</v>
      </c>
      <c r="J9" s="1">
        <f>F9*G9/1000</f>
        <v>5</v>
      </c>
      <c r="K9" s="1">
        <f>J9/H9*I9</f>
        <v>0.625</v>
      </c>
      <c r="L9" s="1">
        <f t="shared" si="0"/>
        <v>5</v>
      </c>
      <c r="M9" s="75">
        <f t="shared" si="0"/>
        <v>0.625</v>
      </c>
    </row>
    <row r="10" spans="1:13" ht="18" customHeight="1">
      <c r="A10" s="359"/>
      <c r="B10" s="370" t="s">
        <v>416</v>
      </c>
      <c r="C10" s="365" t="s">
        <v>340</v>
      </c>
      <c r="D10" s="365"/>
      <c r="E10" s="5" t="s">
        <v>341</v>
      </c>
      <c r="F10" s="14">
        <v>3500</v>
      </c>
      <c r="G10" s="136">
        <v>25</v>
      </c>
      <c r="H10" s="10">
        <v>12</v>
      </c>
      <c r="I10" s="1">
        <v>1.5</v>
      </c>
      <c r="J10" s="1">
        <f>F10*G10/1000</f>
        <v>87.5</v>
      </c>
      <c r="K10" s="1">
        <f>J10/H10*I10</f>
        <v>10.9375</v>
      </c>
      <c r="L10" s="1">
        <f t="shared" si="0"/>
        <v>87.5</v>
      </c>
      <c r="M10" s="75">
        <f t="shared" si="0"/>
        <v>10.9375</v>
      </c>
    </row>
    <row r="11" spans="1:13" ht="18" customHeight="1">
      <c r="A11" s="359"/>
      <c r="B11" s="371"/>
      <c r="C11" s="363" t="s">
        <v>342</v>
      </c>
      <c r="D11" s="364"/>
      <c r="E11" s="5" t="s">
        <v>343</v>
      </c>
      <c r="F11" s="14">
        <f>F10/3/10</f>
        <v>116.66666666666667</v>
      </c>
      <c r="G11" s="136">
        <v>60</v>
      </c>
      <c r="H11" s="10">
        <v>12</v>
      </c>
      <c r="I11" s="1">
        <v>1.5</v>
      </c>
      <c r="J11" s="1">
        <f>F11*G11/1000</f>
        <v>7</v>
      </c>
      <c r="K11" s="1">
        <f>J11/H11*I11</f>
        <v>0.875</v>
      </c>
      <c r="L11" s="1">
        <v>36</v>
      </c>
      <c r="M11" s="75">
        <f t="shared" si="0"/>
        <v>0.875</v>
      </c>
    </row>
    <row r="12" spans="1:13" ht="18" customHeight="1">
      <c r="A12" s="360"/>
      <c r="B12" s="369" t="s">
        <v>350</v>
      </c>
      <c r="C12" s="369"/>
      <c r="D12" s="371"/>
      <c r="E12" s="13"/>
      <c r="F12" s="14"/>
      <c r="G12" s="137"/>
      <c r="H12" s="10"/>
      <c r="I12" s="1"/>
      <c r="J12" s="1">
        <f>SUM(J8:J11)</f>
        <v>124.5</v>
      </c>
      <c r="K12" s="1">
        <f>SUM(K8:K11)</f>
        <v>15.5625</v>
      </c>
      <c r="L12" s="1">
        <f>SUM(L8:L11)</f>
        <v>153.5</v>
      </c>
      <c r="M12" s="32">
        <f>SUM(M8:M11)</f>
        <v>15.5625</v>
      </c>
    </row>
    <row r="13" spans="1:13" ht="18" customHeight="1">
      <c r="A13" s="361" t="s">
        <v>630</v>
      </c>
      <c r="B13" s="343"/>
      <c r="C13" s="343"/>
      <c r="D13" s="344"/>
      <c r="E13" s="12"/>
      <c r="F13" s="14"/>
      <c r="G13" s="137"/>
      <c r="H13" s="10"/>
      <c r="I13" s="1"/>
      <c r="J13" s="1">
        <f>J7+J12</f>
        <v>204.10000000000002</v>
      </c>
      <c r="K13" s="1">
        <f>K7+K12</f>
        <v>23.979166666666668</v>
      </c>
      <c r="L13" s="1">
        <f>L7+L12</f>
        <v>225.74</v>
      </c>
      <c r="M13" s="32">
        <f>M7+M12</f>
        <v>23.2125</v>
      </c>
    </row>
    <row r="14" spans="1:13" ht="18" customHeight="1">
      <c r="A14" s="361" t="s">
        <v>455</v>
      </c>
      <c r="B14" s="343"/>
      <c r="C14" s="343"/>
      <c r="D14" s="344"/>
      <c r="E14" s="15"/>
      <c r="F14" s="14"/>
      <c r="G14" s="137"/>
      <c r="H14" s="16"/>
      <c r="I14" s="16"/>
      <c r="J14" s="16">
        <f>J13*0.2</f>
        <v>40.82000000000001</v>
      </c>
      <c r="K14" s="16">
        <f>K13*0.2</f>
        <v>4.795833333333333</v>
      </c>
      <c r="L14" s="16">
        <f>L13*0.2</f>
        <v>45.148</v>
      </c>
      <c r="M14" s="33">
        <f>M13*0.2</f>
        <v>4.6425</v>
      </c>
    </row>
    <row r="15" spans="1:13" ht="18" customHeight="1" thickBot="1">
      <c r="A15" s="346" t="s">
        <v>453</v>
      </c>
      <c r="B15" s="347"/>
      <c r="C15" s="347"/>
      <c r="D15" s="348"/>
      <c r="E15" s="34"/>
      <c r="F15" s="35"/>
      <c r="G15" s="138"/>
      <c r="H15" s="36"/>
      <c r="I15" s="36"/>
      <c r="J15" s="138">
        <f>J13+J14</f>
        <v>244.92000000000002</v>
      </c>
      <c r="K15" s="138">
        <f>K13+K14</f>
        <v>28.775000000000002</v>
      </c>
      <c r="L15" s="138">
        <f>L13+L14</f>
        <v>270.88800000000003</v>
      </c>
      <c r="M15" s="161">
        <f>M13+M14</f>
        <v>27.854999999999997</v>
      </c>
    </row>
    <row r="16" spans="1:13" ht="18" customHeight="1">
      <c r="A16" s="345" t="s">
        <v>417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</row>
    <row r="17" spans="1:13" ht="18" customHeight="1">
      <c r="A17" s="372" t="s">
        <v>354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</row>
    <row r="18" ht="18" customHeight="1"/>
    <row r="19" ht="18" customHeight="1"/>
  </sheetData>
  <mergeCells count="21">
    <mergeCell ref="A1:I1"/>
    <mergeCell ref="A2:D3"/>
    <mergeCell ref="E2:E4"/>
    <mergeCell ref="F2:F4"/>
    <mergeCell ref="G2:G3"/>
    <mergeCell ref="H2:H3"/>
    <mergeCell ref="A4:A7"/>
    <mergeCell ref="B6:D6"/>
    <mergeCell ref="B7:D7"/>
    <mergeCell ref="B12:D12"/>
    <mergeCell ref="A8:A12"/>
    <mergeCell ref="B8:D8"/>
    <mergeCell ref="B9:D9"/>
    <mergeCell ref="B10:B11"/>
    <mergeCell ref="C10:D10"/>
    <mergeCell ref="C11:D11"/>
    <mergeCell ref="A17:M17"/>
    <mergeCell ref="A13:D13"/>
    <mergeCell ref="A14:D14"/>
    <mergeCell ref="A15:D15"/>
    <mergeCell ref="A16:M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F5">
      <selection activeCell="G8" sqref="G8"/>
    </sheetView>
  </sheetViews>
  <sheetFormatPr defaultColWidth="15.625" defaultRowHeight="19.5" customHeight="1"/>
  <cols>
    <col min="1" max="1" width="4.75390625" style="3" bestFit="1" customWidth="1"/>
    <col min="2" max="2" width="10.125" style="3" bestFit="1" customWidth="1"/>
    <col min="3" max="3" width="4.75390625" style="3" bestFit="1" customWidth="1"/>
    <col min="4" max="4" width="13.375" style="3" customWidth="1"/>
    <col min="5" max="5" width="4.75390625" style="3" bestFit="1" customWidth="1"/>
    <col min="6" max="6" width="6.375" style="3" bestFit="1" customWidth="1"/>
    <col min="7" max="7" width="20.125" style="139" bestFit="1" customWidth="1"/>
    <col min="8" max="8" width="8.00390625" style="3" bestFit="1" customWidth="1"/>
    <col min="9" max="9" width="6.375" style="3" bestFit="1" customWidth="1"/>
    <col min="10" max="13" width="7.625" style="3" customWidth="1"/>
    <col min="14" max="16384" width="15.625" style="3" customWidth="1"/>
  </cols>
  <sheetData>
    <row r="1" spans="1:9" s="17" customFormat="1" ht="18" customHeight="1" thickBot="1">
      <c r="A1" s="351" t="s">
        <v>632</v>
      </c>
      <c r="B1" s="351"/>
      <c r="C1" s="351"/>
      <c r="D1" s="351"/>
      <c r="E1" s="351"/>
      <c r="F1" s="351"/>
      <c r="G1" s="351"/>
      <c r="H1" s="351"/>
      <c r="I1" s="351"/>
    </row>
    <row r="2" spans="1:13" ht="18" customHeight="1">
      <c r="A2" s="337" t="s">
        <v>633</v>
      </c>
      <c r="B2" s="338"/>
      <c r="C2" s="338"/>
      <c r="D2" s="338"/>
      <c r="E2" s="341" t="s">
        <v>634</v>
      </c>
      <c r="F2" s="331" t="s">
        <v>635</v>
      </c>
      <c r="G2" s="334" t="s">
        <v>636</v>
      </c>
      <c r="H2" s="321" t="s">
        <v>637</v>
      </c>
      <c r="I2" s="310" t="s">
        <v>638</v>
      </c>
      <c r="J2" s="310" t="s">
        <v>639</v>
      </c>
      <c r="K2" s="310" t="s">
        <v>640</v>
      </c>
      <c r="L2" s="310" t="s">
        <v>639</v>
      </c>
      <c r="M2" s="312" t="s">
        <v>640</v>
      </c>
    </row>
    <row r="3" spans="1:13" ht="18" customHeight="1">
      <c r="A3" s="339"/>
      <c r="B3" s="340"/>
      <c r="C3" s="340"/>
      <c r="D3" s="340"/>
      <c r="E3" s="342"/>
      <c r="F3" s="332"/>
      <c r="G3" s="335"/>
      <c r="H3" s="322"/>
      <c r="I3" s="311" t="s">
        <v>641</v>
      </c>
      <c r="J3" s="311" t="s">
        <v>642</v>
      </c>
      <c r="K3" s="311" t="s">
        <v>642</v>
      </c>
      <c r="L3" s="311" t="s">
        <v>643</v>
      </c>
      <c r="M3" s="313" t="s">
        <v>643</v>
      </c>
    </row>
    <row r="4" spans="1:13" ht="18" customHeight="1">
      <c r="A4" s="382" t="s">
        <v>644</v>
      </c>
      <c r="B4" s="183" t="s">
        <v>645</v>
      </c>
      <c r="C4" s="183" t="s">
        <v>646</v>
      </c>
      <c r="D4" s="183" t="s">
        <v>647</v>
      </c>
      <c r="E4" s="330"/>
      <c r="F4" s="333"/>
      <c r="G4" s="314" t="s">
        <v>648</v>
      </c>
      <c r="H4" s="315" t="s">
        <v>2</v>
      </c>
      <c r="I4" s="195"/>
      <c r="J4" s="195" t="s">
        <v>649</v>
      </c>
      <c r="K4" s="195" t="s">
        <v>650</v>
      </c>
      <c r="L4" s="195" t="s">
        <v>649</v>
      </c>
      <c r="M4" s="316" t="s">
        <v>650</v>
      </c>
    </row>
    <row r="5" spans="1:13" ht="18" customHeight="1">
      <c r="A5" s="383"/>
      <c r="B5" s="200" t="s">
        <v>665</v>
      </c>
      <c r="C5" s="183">
        <v>49</v>
      </c>
      <c r="D5" s="183">
        <v>3.2</v>
      </c>
      <c r="E5" s="191" t="s">
        <v>651</v>
      </c>
      <c r="F5" s="193">
        <f>C5*D5</f>
        <v>156.8</v>
      </c>
      <c r="G5" s="317">
        <v>250</v>
      </c>
      <c r="H5" s="201">
        <v>24</v>
      </c>
      <c r="I5" s="194">
        <v>2.5</v>
      </c>
      <c r="J5" s="318">
        <f>F5*G5/1000</f>
        <v>39.2</v>
      </c>
      <c r="K5" s="194">
        <f>J5/H5*I5</f>
        <v>4.083333333333334</v>
      </c>
      <c r="L5" s="194">
        <f aca="true" t="shared" si="0" ref="L5:M7">J5*0.9</f>
        <v>35.28</v>
      </c>
      <c r="M5" s="319">
        <f t="shared" si="0"/>
        <v>3.6750000000000007</v>
      </c>
    </row>
    <row r="6" spans="1:13" ht="18" customHeight="1">
      <c r="A6" s="383"/>
      <c r="B6" s="200" t="s">
        <v>501</v>
      </c>
      <c r="C6" s="183">
        <v>50</v>
      </c>
      <c r="D6" s="183">
        <v>3.2</v>
      </c>
      <c r="E6" s="191" t="s">
        <v>651</v>
      </c>
      <c r="F6" s="193">
        <f>C6*D6</f>
        <v>160</v>
      </c>
      <c r="G6" s="317">
        <v>250</v>
      </c>
      <c r="H6" s="201">
        <v>24</v>
      </c>
      <c r="I6" s="194">
        <v>2.5</v>
      </c>
      <c r="J6" s="318">
        <f>F6*G6/1000</f>
        <v>40</v>
      </c>
      <c r="K6" s="194">
        <f>J6/H6*I6</f>
        <v>4.166666666666667</v>
      </c>
      <c r="L6" s="194">
        <f t="shared" si="0"/>
        <v>36</v>
      </c>
      <c r="M6" s="319">
        <f t="shared" si="0"/>
        <v>3.7500000000000004</v>
      </c>
    </row>
    <row r="7" spans="1:13" ht="18" customHeight="1">
      <c r="A7" s="383"/>
      <c r="B7" s="200" t="s">
        <v>502</v>
      </c>
      <c r="C7" s="183">
        <v>49</v>
      </c>
      <c r="D7" s="183">
        <v>3.2</v>
      </c>
      <c r="E7" s="191" t="s">
        <v>651</v>
      </c>
      <c r="F7" s="193">
        <f>C7*D7</f>
        <v>156.8</v>
      </c>
      <c r="G7" s="317">
        <v>250</v>
      </c>
      <c r="H7" s="201">
        <v>24</v>
      </c>
      <c r="I7" s="194">
        <v>2.5</v>
      </c>
      <c r="J7" s="318">
        <f>F7*G7/1000</f>
        <v>39.2</v>
      </c>
      <c r="K7" s="194">
        <f>J7/H7*I7</f>
        <v>4.083333333333334</v>
      </c>
      <c r="L7" s="194">
        <f t="shared" si="0"/>
        <v>35.28</v>
      </c>
      <c r="M7" s="319">
        <f t="shared" si="0"/>
        <v>3.6750000000000007</v>
      </c>
    </row>
    <row r="8" spans="1:13" ht="18" customHeight="1">
      <c r="A8" s="383"/>
      <c r="B8" s="385" t="s">
        <v>652</v>
      </c>
      <c r="C8" s="386"/>
      <c r="D8" s="387"/>
      <c r="E8" s="183" t="s">
        <v>653</v>
      </c>
      <c r="F8" s="193">
        <v>400</v>
      </c>
      <c r="G8" s="317">
        <v>2</v>
      </c>
      <c r="H8" s="201">
        <v>8</v>
      </c>
      <c r="I8" s="194">
        <v>1</v>
      </c>
      <c r="J8" s="318">
        <f>F8*G8/1000</f>
        <v>0.8</v>
      </c>
      <c r="K8" s="194">
        <f>J8/H8*I8</f>
        <v>0.1</v>
      </c>
      <c r="L8" s="194">
        <f>J8*1</f>
        <v>0.8</v>
      </c>
      <c r="M8" s="319">
        <f>K8*1</f>
        <v>0.1</v>
      </c>
    </row>
    <row r="9" spans="1:13" ht="18" customHeight="1">
      <c r="A9" s="384"/>
      <c r="B9" s="388" t="s">
        <v>654</v>
      </c>
      <c r="C9" s="388"/>
      <c r="D9" s="388"/>
      <c r="E9" s="182"/>
      <c r="F9" s="197"/>
      <c r="G9" s="317"/>
      <c r="H9" s="201"/>
      <c r="I9" s="194"/>
      <c r="J9" s="194">
        <f>SUM(J5:J8)</f>
        <v>119.2</v>
      </c>
      <c r="K9" s="194">
        <f>SUM(K5:K8)</f>
        <v>12.433333333333334</v>
      </c>
      <c r="L9" s="194">
        <f>SUM(L5:L8)</f>
        <v>107.36</v>
      </c>
      <c r="M9" s="320">
        <f>SUM(M5:M8)</f>
        <v>11.200000000000001</v>
      </c>
    </row>
    <row r="10" spans="1:13" ht="18" customHeight="1">
      <c r="A10" s="383" t="s">
        <v>655</v>
      </c>
      <c r="B10" s="386" t="s">
        <v>656</v>
      </c>
      <c r="C10" s="386"/>
      <c r="D10" s="387"/>
      <c r="E10" s="183" t="s">
        <v>653</v>
      </c>
      <c r="F10" s="197">
        <v>6500</v>
      </c>
      <c r="G10" s="317">
        <v>5</v>
      </c>
      <c r="H10" s="201">
        <v>12</v>
      </c>
      <c r="I10" s="194">
        <v>1.5</v>
      </c>
      <c r="J10" s="194">
        <f>F10*G10/1000</f>
        <v>32.5</v>
      </c>
      <c r="K10" s="194">
        <f>J10/H10*I10</f>
        <v>4.0625</v>
      </c>
      <c r="L10" s="194">
        <f aca="true" t="shared" si="1" ref="L10:M12">J10*1</f>
        <v>32.5</v>
      </c>
      <c r="M10" s="319">
        <f t="shared" si="1"/>
        <v>4.0625</v>
      </c>
    </row>
    <row r="11" spans="1:13" ht="18" customHeight="1">
      <c r="A11" s="383"/>
      <c r="B11" s="386" t="s">
        <v>657</v>
      </c>
      <c r="C11" s="386"/>
      <c r="D11" s="387"/>
      <c r="E11" s="183" t="s">
        <v>653</v>
      </c>
      <c r="F11" s="193">
        <v>2700</v>
      </c>
      <c r="G11" s="317">
        <v>2</v>
      </c>
      <c r="H11" s="201">
        <v>8</v>
      </c>
      <c r="I11" s="194">
        <v>1</v>
      </c>
      <c r="J11" s="194">
        <f>F11*G11/1000</f>
        <v>5.4</v>
      </c>
      <c r="K11" s="194">
        <f>J11/H11*I11</f>
        <v>0.675</v>
      </c>
      <c r="L11" s="194">
        <f t="shared" si="1"/>
        <v>5.4</v>
      </c>
      <c r="M11" s="319">
        <f t="shared" si="1"/>
        <v>0.675</v>
      </c>
    </row>
    <row r="12" spans="1:13" ht="18" customHeight="1">
      <c r="A12" s="383"/>
      <c r="B12" s="391" t="s">
        <v>658</v>
      </c>
      <c r="C12" s="388" t="s">
        <v>659</v>
      </c>
      <c r="D12" s="388"/>
      <c r="E12" s="183" t="s">
        <v>660</v>
      </c>
      <c r="F12" s="197">
        <v>5200</v>
      </c>
      <c r="G12" s="317">
        <v>25</v>
      </c>
      <c r="H12" s="201">
        <v>12</v>
      </c>
      <c r="I12" s="194">
        <v>1.5</v>
      </c>
      <c r="J12" s="194">
        <f>F12*G12/1000</f>
        <v>130</v>
      </c>
      <c r="K12" s="194">
        <f>J12/H12*I12</f>
        <v>16.25</v>
      </c>
      <c r="L12" s="194">
        <f t="shared" si="1"/>
        <v>130</v>
      </c>
      <c r="M12" s="319">
        <f t="shared" si="1"/>
        <v>16.25</v>
      </c>
    </row>
    <row r="13" spans="1:13" ht="18" customHeight="1">
      <c r="A13" s="383"/>
      <c r="B13" s="390"/>
      <c r="C13" s="385" t="s">
        <v>661</v>
      </c>
      <c r="D13" s="387"/>
      <c r="E13" s="183" t="s">
        <v>651</v>
      </c>
      <c r="F13" s="197">
        <f>F12/3/10</f>
        <v>173.33333333333331</v>
      </c>
      <c r="G13" s="317">
        <v>60</v>
      </c>
      <c r="H13" s="201">
        <v>12</v>
      </c>
      <c r="I13" s="194">
        <v>1.5</v>
      </c>
      <c r="J13" s="194">
        <f>F13*G13/1000</f>
        <v>10.399999999999999</v>
      </c>
      <c r="K13" s="194">
        <f>J13/H13*I13</f>
        <v>1.2999999999999998</v>
      </c>
      <c r="L13" s="194">
        <v>36</v>
      </c>
      <c r="M13" s="319">
        <f>K13*1</f>
        <v>1.2999999999999998</v>
      </c>
    </row>
    <row r="14" spans="1:13" ht="18" customHeight="1">
      <c r="A14" s="384"/>
      <c r="B14" s="389" t="s">
        <v>662</v>
      </c>
      <c r="C14" s="389"/>
      <c r="D14" s="390"/>
      <c r="E14" s="182"/>
      <c r="F14" s="197"/>
      <c r="G14" s="323"/>
      <c r="H14" s="201"/>
      <c r="I14" s="194"/>
      <c r="J14" s="194">
        <f>SUM(J10:J13)</f>
        <v>178.3</v>
      </c>
      <c r="K14" s="194">
        <f>SUM(K10:K13)</f>
        <v>22.2875</v>
      </c>
      <c r="L14" s="194">
        <f>SUM(L10:L13)</f>
        <v>203.9</v>
      </c>
      <c r="M14" s="320">
        <f>SUM(M10:M13)</f>
        <v>22.2875</v>
      </c>
    </row>
    <row r="15" spans="1:13" ht="18" customHeight="1">
      <c r="A15" s="392" t="s">
        <v>663</v>
      </c>
      <c r="B15" s="393"/>
      <c r="C15" s="393"/>
      <c r="D15" s="394"/>
      <c r="E15" s="184"/>
      <c r="F15" s="197"/>
      <c r="G15" s="323"/>
      <c r="H15" s="201"/>
      <c r="I15" s="194"/>
      <c r="J15" s="194">
        <f>J9+J14</f>
        <v>297.5</v>
      </c>
      <c r="K15" s="194">
        <f>K9+K14</f>
        <v>34.72083333333333</v>
      </c>
      <c r="L15" s="194">
        <f>L9+L14</f>
        <v>311.26</v>
      </c>
      <c r="M15" s="320">
        <f>M9+M14</f>
        <v>33.487500000000004</v>
      </c>
    </row>
    <row r="16" spans="1:13" ht="18" customHeight="1">
      <c r="A16" s="392" t="s">
        <v>455</v>
      </c>
      <c r="B16" s="393"/>
      <c r="C16" s="393"/>
      <c r="D16" s="394"/>
      <c r="E16" s="324"/>
      <c r="F16" s="197"/>
      <c r="G16" s="323"/>
      <c r="H16" s="325"/>
      <c r="I16" s="325"/>
      <c r="J16" s="325">
        <f>J15*0.2</f>
        <v>59.5</v>
      </c>
      <c r="K16" s="325">
        <f>K15*0.2</f>
        <v>6.944166666666667</v>
      </c>
      <c r="L16" s="325">
        <f>L15*0.2</f>
        <v>62.252</v>
      </c>
      <c r="M16" s="326">
        <f>M15*0.2</f>
        <v>6.697500000000002</v>
      </c>
    </row>
    <row r="17" spans="1:13" ht="18" customHeight="1" thickBot="1">
      <c r="A17" s="395" t="s">
        <v>453</v>
      </c>
      <c r="B17" s="396"/>
      <c r="C17" s="396"/>
      <c r="D17" s="397"/>
      <c r="E17" s="327"/>
      <c r="F17" s="210"/>
      <c r="G17" s="328"/>
      <c r="H17" s="211"/>
      <c r="I17" s="211"/>
      <c r="J17" s="328">
        <f>J15+J16</f>
        <v>357</v>
      </c>
      <c r="K17" s="328">
        <f>K15+K16</f>
        <v>41.665</v>
      </c>
      <c r="L17" s="328">
        <f>L15+L16</f>
        <v>373.512</v>
      </c>
      <c r="M17" s="329">
        <f>M15+M16</f>
        <v>40.185</v>
      </c>
    </row>
    <row r="18" spans="1:13" ht="18" customHeight="1">
      <c r="A18" s="398" t="s">
        <v>417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</row>
    <row r="19" spans="1:13" ht="18" customHeight="1">
      <c r="A19" s="372" t="s">
        <v>664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</row>
    <row r="20" ht="18" customHeight="1"/>
    <row r="21" ht="18" customHeight="1"/>
  </sheetData>
  <mergeCells count="21">
    <mergeCell ref="A19:M19"/>
    <mergeCell ref="A15:D15"/>
    <mergeCell ref="A16:D16"/>
    <mergeCell ref="A17:D17"/>
    <mergeCell ref="A18:M18"/>
    <mergeCell ref="B14:D14"/>
    <mergeCell ref="A10:A14"/>
    <mergeCell ref="B10:D10"/>
    <mergeCell ref="B11:D11"/>
    <mergeCell ref="B12:B13"/>
    <mergeCell ref="C12:D12"/>
    <mergeCell ref="C13:D13"/>
    <mergeCell ref="A1:I1"/>
    <mergeCell ref="A2:D3"/>
    <mergeCell ref="E2:E4"/>
    <mergeCell ref="F2:F4"/>
    <mergeCell ref="G2:G3"/>
    <mergeCell ref="H2:H3"/>
    <mergeCell ref="A4:A9"/>
    <mergeCell ref="B8:D8"/>
    <mergeCell ref="B9:D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D13" sqref="D13"/>
    </sheetView>
  </sheetViews>
  <sheetFormatPr defaultColWidth="9.00390625" defaultRowHeight="19.5" customHeight="1"/>
  <cols>
    <col min="1" max="1" width="8.00390625" style="3" bestFit="1" customWidth="1"/>
    <col min="2" max="2" width="10.125" style="3" bestFit="1" customWidth="1"/>
    <col min="3" max="3" width="5.00390625" style="3" bestFit="1" customWidth="1"/>
    <col min="4" max="4" width="8.00390625" style="3" bestFit="1" customWidth="1"/>
    <col min="5" max="5" width="6.375" style="3" bestFit="1" customWidth="1"/>
    <col min="6" max="6" width="8.00390625" style="3" bestFit="1" customWidth="1"/>
    <col min="7" max="7" width="9.625" style="3" bestFit="1" customWidth="1"/>
    <col min="8" max="14" width="8.00390625" style="3" bestFit="1" customWidth="1"/>
    <col min="15" max="15" width="8.50390625" style="3" bestFit="1" customWidth="1"/>
    <col min="16" max="16" width="6.375" style="3" bestFit="1" customWidth="1"/>
    <col min="17" max="17" width="6.75390625" style="3" customWidth="1"/>
    <col min="18" max="16384" width="9.00390625" style="3" customWidth="1"/>
  </cols>
  <sheetData>
    <row r="1" spans="1:20" ht="19.5" customHeight="1" thickBot="1">
      <c r="A1" s="362" t="s">
        <v>508</v>
      </c>
      <c r="B1" s="362"/>
      <c r="C1" s="362"/>
      <c r="D1" s="362"/>
      <c r="E1" s="362"/>
      <c r="F1" s="362"/>
      <c r="G1" s="362"/>
      <c r="H1" s="362"/>
      <c r="I1" s="362"/>
      <c r="J1" s="168"/>
      <c r="P1" s="167"/>
      <c r="Q1" s="167"/>
      <c r="R1" s="167"/>
      <c r="S1" s="167"/>
      <c r="T1" s="167"/>
    </row>
    <row r="2" spans="1:17" ht="19.5" customHeight="1">
      <c r="A2" s="354" t="s">
        <v>438</v>
      </c>
      <c r="B2" s="355"/>
      <c r="C2" s="355"/>
      <c r="D2" s="355"/>
      <c r="E2" s="169" t="s">
        <v>439</v>
      </c>
      <c r="F2" s="169" t="s">
        <v>441</v>
      </c>
      <c r="G2" s="169" t="s">
        <v>418</v>
      </c>
      <c r="H2" s="169" t="s">
        <v>419</v>
      </c>
      <c r="I2" s="169" t="s">
        <v>420</v>
      </c>
      <c r="J2" s="169" t="s">
        <v>418</v>
      </c>
      <c r="K2" s="169" t="s">
        <v>421</v>
      </c>
      <c r="L2" s="169" t="s">
        <v>445</v>
      </c>
      <c r="M2" s="169" t="s">
        <v>446</v>
      </c>
      <c r="N2" s="169" t="s">
        <v>447</v>
      </c>
      <c r="O2" s="169" t="s">
        <v>422</v>
      </c>
      <c r="P2" s="169" t="s">
        <v>452</v>
      </c>
      <c r="Q2" s="399" t="s">
        <v>423</v>
      </c>
    </row>
    <row r="3" spans="1:17" ht="19.5" customHeight="1">
      <c r="A3" s="356"/>
      <c r="B3" s="357"/>
      <c r="C3" s="357"/>
      <c r="D3" s="357"/>
      <c r="E3" s="170" t="s">
        <v>440</v>
      </c>
      <c r="F3" s="170" t="s">
        <v>442</v>
      </c>
      <c r="G3" s="170" t="s">
        <v>424</v>
      </c>
      <c r="H3" s="170" t="s">
        <v>443</v>
      </c>
      <c r="I3" s="170" t="s">
        <v>98</v>
      </c>
      <c r="J3" s="170" t="s">
        <v>425</v>
      </c>
      <c r="K3" s="170" t="s">
        <v>444</v>
      </c>
      <c r="L3" s="170" t="s">
        <v>426</v>
      </c>
      <c r="M3" s="170" t="s">
        <v>426</v>
      </c>
      <c r="N3" s="170" t="s">
        <v>448</v>
      </c>
      <c r="O3" s="170" t="s">
        <v>98</v>
      </c>
      <c r="P3" s="170" t="s">
        <v>449</v>
      </c>
      <c r="Q3" s="400"/>
    </row>
    <row r="4" spans="1:17" ht="19.5" customHeight="1">
      <c r="A4" s="358" t="s">
        <v>427</v>
      </c>
      <c r="B4" s="5" t="s">
        <v>368</v>
      </c>
      <c r="C4" s="5" t="s">
        <v>367</v>
      </c>
      <c r="D4" s="5" t="s">
        <v>359</v>
      </c>
      <c r="E4" s="163" t="s">
        <v>428</v>
      </c>
      <c r="F4" s="171" t="s">
        <v>65</v>
      </c>
      <c r="G4" s="171" t="s">
        <v>429</v>
      </c>
      <c r="H4" s="171" t="s">
        <v>2</v>
      </c>
      <c r="I4" s="171" t="s">
        <v>430</v>
      </c>
      <c r="J4" s="171" t="s">
        <v>431</v>
      </c>
      <c r="K4" s="171" t="s">
        <v>432</v>
      </c>
      <c r="L4" s="171"/>
      <c r="M4" s="171"/>
      <c r="N4" s="171"/>
      <c r="O4" s="8" t="s">
        <v>430</v>
      </c>
      <c r="P4" s="8" t="s">
        <v>430</v>
      </c>
      <c r="Q4" s="172" t="s">
        <v>430</v>
      </c>
    </row>
    <row r="5" spans="1:17" ht="19.5" customHeight="1">
      <c r="A5" s="359"/>
      <c r="B5" s="162" t="s">
        <v>499</v>
      </c>
      <c r="C5" s="5">
        <v>92</v>
      </c>
      <c r="D5" s="5">
        <v>3.2</v>
      </c>
      <c r="E5" s="9">
        <f>C5*D5</f>
        <v>294.40000000000003</v>
      </c>
      <c r="F5" s="9">
        <f>E5*0.7</f>
        <v>206.08</v>
      </c>
      <c r="G5" s="1">
        <v>250</v>
      </c>
      <c r="H5" s="6">
        <v>12</v>
      </c>
      <c r="I5" s="173">
        <f>F5*G5*H5/(24*1000)</f>
        <v>25.76</v>
      </c>
      <c r="J5" s="1">
        <v>0.7</v>
      </c>
      <c r="K5" s="14">
        <v>180</v>
      </c>
      <c r="L5" s="174">
        <v>0.95</v>
      </c>
      <c r="M5" s="174">
        <v>0.9</v>
      </c>
      <c r="N5" s="174">
        <v>0.8</v>
      </c>
      <c r="O5" s="173">
        <f>J5*F5*K5*(1-L5)*N5*1.2/(1-M5)/1000</f>
        <v>12.463718400000015</v>
      </c>
      <c r="P5" s="173">
        <f>I5+O5</f>
        <v>38.22371840000002</v>
      </c>
      <c r="Q5" s="175">
        <v>40</v>
      </c>
    </row>
    <row r="6" spans="1:17" ht="19.5" customHeight="1">
      <c r="A6" s="359"/>
      <c r="B6" s="162" t="s">
        <v>500</v>
      </c>
      <c r="C6" s="5">
        <v>49</v>
      </c>
      <c r="D6" s="5">
        <v>3.2</v>
      </c>
      <c r="E6" s="9">
        <f aca="true" t="shared" si="0" ref="E6:E12">C6*D6</f>
        <v>156.8</v>
      </c>
      <c r="F6" s="9">
        <f aca="true" t="shared" si="1" ref="F6:F12">E6*0.7</f>
        <v>109.76</v>
      </c>
      <c r="G6" s="1">
        <v>250</v>
      </c>
      <c r="H6" s="6">
        <v>12</v>
      </c>
      <c r="I6" s="173">
        <f aca="true" t="shared" si="2" ref="I6:I12">F6*G6*H6/(24*1000)</f>
        <v>13.72</v>
      </c>
      <c r="J6" s="1">
        <v>0.7</v>
      </c>
      <c r="K6" s="14">
        <v>180</v>
      </c>
      <c r="L6" s="174">
        <v>0.95</v>
      </c>
      <c r="M6" s="174">
        <v>0.9</v>
      </c>
      <c r="N6" s="174">
        <v>0.8</v>
      </c>
      <c r="O6" s="173">
        <f aca="true" t="shared" si="3" ref="O6:O12">J6*F6*K6*(1-L6)*N6*1.2/(1-M6)/1000</f>
        <v>6.638284800000005</v>
      </c>
      <c r="P6" s="173">
        <f aca="true" t="shared" si="4" ref="P6:P12">I6+O6</f>
        <v>20.358284800000007</v>
      </c>
      <c r="Q6" s="175"/>
    </row>
    <row r="7" spans="1:17" ht="19.5" customHeight="1">
      <c r="A7" s="359"/>
      <c r="B7" s="162" t="s">
        <v>501</v>
      </c>
      <c r="C7" s="5">
        <v>50</v>
      </c>
      <c r="D7" s="5">
        <v>3.2</v>
      </c>
      <c r="E7" s="9">
        <f t="shared" si="0"/>
        <v>160</v>
      </c>
      <c r="F7" s="9">
        <f t="shared" si="1"/>
        <v>112</v>
      </c>
      <c r="G7" s="1">
        <v>250</v>
      </c>
      <c r="H7" s="6">
        <v>12</v>
      </c>
      <c r="I7" s="173">
        <f t="shared" si="2"/>
        <v>14</v>
      </c>
      <c r="J7" s="1">
        <v>0.7</v>
      </c>
      <c r="K7" s="14">
        <v>180</v>
      </c>
      <c r="L7" s="174">
        <v>0.95</v>
      </c>
      <c r="M7" s="174">
        <v>0.9</v>
      </c>
      <c r="N7" s="174">
        <v>0.8</v>
      </c>
      <c r="O7" s="173">
        <f t="shared" si="3"/>
        <v>6.773760000000006</v>
      </c>
      <c r="P7" s="173">
        <f t="shared" si="4"/>
        <v>20.773760000000006</v>
      </c>
      <c r="Q7" s="175"/>
    </row>
    <row r="8" spans="1:17" ht="19.5" customHeight="1">
      <c r="A8" s="359"/>
      <c r="B8" s="162" t="s">
        <v>502</v>
      </c>
      <c r="C8" s="5">
        <v>49</v>
      </c>
      <c r="D8" s="5">
        <v>3.2</v>
      </c>
      <c r="E8" s="9">
        <f t="shared" si="0"/>
        <v>156.8</v>
      </c>
      <c r="F8" s="9">
        <f t="shared" si="1"/>
        <v>109.76</v>
      </c>
      <c r="G8" s="1">
        <v>250</v>
      </c>
      <c r="H8" s="6">
        <v>12</v>
      </c>
      <c r="I8" s="173">
        <f t="shared" si="2"/>
        <v>13.72</v>
      </c>
      <c r="J8" s="1">
        <v>0.7</v>
      </c>
      <c r="K8" s="14">
        <v>180</v>
      </c>
      <c r="L8" s="174">
        <v>0.95</v>
      </c>
      <c r="M8" s="174">
        <v>0.9</v>
      </c>
      <c r="N8" s="174">
        <v>0.8</v>
      </c>
      <c r="O8" s="173">
        <f t="shared" si="3"/>
        <v>6.638284800000005</v>
      </c>
      <c r="P8" s="173">
        <f t="shared" si="4"/>
        <v>20.358284800000007</v>
      </c>
      <c r="Q8" s="175">
        <v>75</v>
      </c>
    </row>
    <row r="9" spans="1:17" ht="19.5" customHeight="1">
      <c r="A9" s="359"/>
      <c r="B9" s="162" t="s">
        <v>503</v>
      </c>
      <c r="C9" s="5">
        <v>124</v>
      </c>
      <c r="D9" s="5">
        <v>3.2</v>
      </c>
      <c r="E9" s="9">
        <f t="shared" si="0"/>
        <v>396.8</v>
      </c>
      <c r="F9" s="9">
        <f t="shared" si="1"/>
        <v>277.76</v>
      </c>
      <c r="G9" s="1">
        <v>250</v>
      </c>
      <c r="H9" s="6">
        <v>12</v>
      </c>
      <c r="I9" s="173">
        <f t="shared" si="2"/>
        <v>34.72</v>
      </c>
      <c r="J9" s="1">
        <v>0.7</v>
      </c>
      <c r="K9" s="14">
        <v>180</v>
      </c>
      <c r="L9" s="174">
        <v>0.95</v>
      </c>
      <c r="M9" s="174">
        <v>0.9</v>
      </c>
      <c r="N9" s="174">
        <v>0.8</v>
      </c>
      <c r="O9" s="173">
        <f t="shared" si="3"/>
        <v>16.79892480000002</v>
      </c>
      <c r="P9" s="173">
        <f t="shared" si="4"/>
        <v>51.51892480000002</v>
      </c>
      <c r="Q9" s="175">
        <v>75</v>
      </c>
    </row>
    <row r="10" spans="1:17" ht="19.5" customHeight="1">
      <c r="A10" s="359"/>
      <c r="B10" s="162" t="s">
        <v>504</v>
      </c>
      <c r="C10" s="5">
        <v>208</v>
      </c>
      <c r="D10" s="5">
        <v>3.2</v>
      </c>
      <c r="E10" s="9">
        <f t="shared" si="0"/>
        <v>665.6</v>
      </c>
      <c r="F10" s="9">
        <f t="shared" si="1"/>
        <v>465.91999999999996</v>
      </c>
      <c r="G10" s="1">
        <v>250</v>
      </c>
      <c r="H10" s="6">
        <v>12</v>
      </c>
      <c r="I10" s="173">
        <f t="shared" si="2"/>
        <v>58.23999999999999</v>
      </c>
      <c r="J10" s="1">
        <v>0.7</v>
      </c>
      <c r="K10" s="14">
        <v>180</v>
      </c>
      <c r="L10" s="174">
        <v>0.95</v>
      </c>
      <c r="M10" s="174">
        <v>0.9</v>
      </c>
      <c r="N10" s="174">
        <v>0.8</v>
      </c>
      <c r="O10" s="173">
        <f t="shared" si="3"/>
        <v>28.17884160000003</v>
      </c>
      <c r="P10" s="173">
        <f t="shared" si="4"/>
        <v>86.41884160000002</v>
      </c>
      <c r="Q10" s="175">
        <v>100</v>
      </c>
    </row>
    <row r="11" spans="1:17" ht="19.5" customHeight="1">
      <c r="A11" s="359"/>
      <c r="B11" s="162" t="s">
        <v>505</v>
      </c>
      <c r="C11" s="5">
        <v>220</v>
      </c>
      <c r="D11" s="5">
        <v>3.2</v>
      </c>
      <c r="E11" s="9">
        <f t="shared" si="0"/>
        <v>704</v>
      </c>
      <c r="F11" s="9">
        <f t="shared" si="1"/>
        <v>492.79999999999995</v>
      </c>
      <c r="G11" s="1">
        <v>250</v>
      </c>
      <c r="H11" s="6">
        <v>12</v>
      </c>
      <c r="I11" s="173">
        <f t="shared" si="2"/>
        <v>61.59999999999999</v>
      </c>
      <c r="J11" s="1">
        <v>0.7</v>
      </c>
      <c r="K11" s="14">
        <v>180</v>
      </c>
      <c r="L11" s="174">
        <v>0.95</v>
      </c>
      <c r="M11" s="174">
        <v>0.9</v>
      </c>
      <c r="N11" s="174">
        <v>0.8</v>
      </c>
      <c r="O11" s="173">
        <f t="shared" si="3"/>
        <v>29.80454400000003</v>
      </c>
      <c r="P11" s="173">
        <f t="shared" si="4"/>
        <v>91.40454400000002</v>
      </c>
      <c r="Q11" s="175">
        <v>100</v>
      </c>
    </row>
    <row r="12" spans="1:17" ht="19.5" customHeight="1">
      <c r="A12" s="359"/>
      <c r="B12" s="162" t="s">
        <v>506</v>
      </c>
      <c r="C12" s="5">
        <v>244</v>
      </c>
      <c r="D12" s="5">
        <v>3.2</v>
      </c>
      <c r="E12" s="9">
        <f t="shared" si="0"/>
        <v>780.8000000000001</v>
      </c>
      <c r="F12" s="9">
        <f t="shared" si="1"/>
        <v>546.5600000000001</v>
      </c>
      <c r="G12" s="1">
        <v>250</v>
      </c>
      <c r="H12" s="6">
        <v>12</v>
      </c>
      <c r="I12" s="173">
        <f t="shared" si="2"/>
        <v>68.32000000000002</v>
      </c>
      <c r="J12" s="1">
        <v>0.7</v>
      </c>
      <c r="K12" s="14">
        <v>180</v>
      </c>
      <c r="L12" s="174">
        <v>0.95</v>
      </c>
      <c r="M12" s="174">
        <v>0.9</v>
      </c>
      <c r="N12" s="174">
        <v>0.8</v>
      </c>
      <c r="O12" s="173">
        <f t="shared" si="3"/>
        <v>33.05594880000004</v>
      </c>
      <c r="P12" s="173">
        <f t="shared" si="4"/>
        <v>101.37594880000006</v>
      </c>
      <c r="Q12" s="175">
        <v>100</v>
      </c>
    </row>
    <row r="13" spans="1:17" ht="19.5" customHeight="1">
      <c r="A13" s="358" t="s">
        <v>434</v>
      </c>
      <c r="B13" s="180" t="s">
        <v>433</v>
      </c>
      <c r="C13" s="5">
        <v>13</v>
      </c>
      <c r="D13" s="5">
        <v>2</v>
      </c>
      <c r="E13" s="9">
        <f>C13*D13</f>
        <v>26</v>
      </c>
      <c r="F13" s="9">
        <f>E13*0.7</f>
        <v>18.2</v>
      </c>
      <c r="G13" s="1">
        <v>250</v>
      </c>
      <c r="H13" s="10">
        <v>12</v>
      </c>
      <c r="I13" s="173">
        <f>F13*G13*H13/(24*1000)</f>
        <v>2.275</v>
      </c>
      <c r="J13" s="1">
        <v>0.7</v>
      </c>
      <c r="K13" s="14">
        <f>30*6</f>
        <v>180</v>
      </c>
      <c r="L13" s="174">
        <v>0.95</v>
      </c>
      <c r="M13" s="174">
        <v>0.9</v>
      </c>
      <c r="N13" s="174">
        <v>0.8</v>
      </c>
      <c r="O13" s="173">
        <f>J13*F13*K13*(1-L13)*N13*1.2/(1-M13)/1000</f>
        <v>1.1007360000000013</v>
      </c>
      <c r="P13" s="173">
        <f>I13+O13</f>
        <v>3.375736000000001</v>
      </c>
      <c r="Q13" s="175"/>
    </row>
    <row r="14" spans="1:17" ht="19.5" customHeight="1">
      <c r="A14" s="359"/>
      <c r="B14" s="365" t="s">
        <v>435</v>
      </c>
      <c r="C14" s="365" t="s">
        <v>436</v>
      </c>
      <c r="D14" s="365"/>
      <c r="E14" s="14">
        <v>3000</v>
      </c>
      <c r="F14" s="9">
        <f>E14*0.1</f>
        <v>300</v>
      </c>
      <c r="G14" s="1">
        <v>30</v>
      </c>
      <c r="H14" s="10">
        <v>12</v>
      </c>
      <c r="I14" s="173">
        <f>F14*G14*H14/(24*1000)</f>
        <v>4.5</v>
      </c>
      <c r="J14" s="1">
        <v>0.7</v>
      </c>
      <c r="K14" s="14">
        <f>30*6</f>
        <v>180</v>
      </c>
      <c r="L14" s="174">
        <v>0.95</v>
      </c>
      <c r="M14" s="174">
        <v>0.9</v>
      </c>
      <c r="N14" s="174">
        <v>0.8</v>
      </c>
      <c r="O14" s="173">
        <f>J14*F14*K14*(1-L14)*N14*1.2/(1-M14)/1000</f>
        <v>18.144000000000023</v>
      </c>
      <c r="P14" s="173">
        <f>I14+O14</f>
        <v>22.644000000000023</v>
      </c>
      <c r="Q14" s="175"/>
    </row>
    <row r="15" spans="1:17" ht="19.5" customHeight="1">
      <c r="A15" s="359"/>
      <c r="B15" s="365"/>
      <c r="C15" s="365" t="s">
        <v>437</v>
      </c>
      <c r="D15" s="365"/>
      <c r="E15" s="14">
        <f>26925/3/3*2/1.3+460</f>
        <v>5062.5641025641025</v>
      </c>
      <c r="F15" s="9">
        <f>E15*0.1</f>
        <v>506.2564102564103</v>
      </c>
      <c r="G15" s="1">
        <v>75</v>
      </c>
      <c r="H15" s="10">
        <v>12</v>
      </c>
      <c r="I15" s="173">
        <f>F15*G15*H15/(24*1000)</f>
        <v>18.984615384615385</v>
      </c>
      <c r="J15" s="1">
        <v>0.7</v>
      </c>
      <c r="K15" s="14">
        <f>30*6</f>
        <v>180</v>
      </c>
      <c r="L15" s="174">
        <v>0.95</v>
      </c>
      <c r="M15" s="174">
        <v>0.9</v>
      </c>
      <c r="N15" s="174">
        <v>0.8</v>
      </c>
      <c r="O15" s="173">
        <f>J15*F15*K15*(1-L15)*N15*1.2/(1-M15)/1000</f>
        <v>30.618387692307724</v>
      </c>
      <c r="P15" s="173">
        <f>I15+O15</f>
        <v>49.60300307692311</v>
      </c>
      <c r="Q15" s="175"/>
    </row>
    <row r="16" spans="1:17" ht="19.5" customHeight="1">
      <c r="A16" s="359"/>
      <c r="B16" s="365" t="s">
        <v>450</v>
      </c>
      <c r="C16" s="365"/>
      <c r="D16" s="365"/>
      <c r="E16" s="14">
        <v>50</v>
      </c>
      <c r="F16" s="9">
        <f>E16*0.1</f>
        <v>5</v>
      </c>
      <c r="G16" s="1">
        <v>60</v>
      </c>
      <c r="H16" s="10">
        <v>12</v>
      </c>
      <c r="I16" s="173">
        <f>F16*G16*H16/(24*1000)</f>
        <v>0.15</v>
      </c>
      <c r="J16" s="1">
        <v>0.7</v>
      </c>
      <c r="K16" s="14">
        <f>30*6</f>
        <v>180</v>
      </c>
      <c r="L16" s="174">
        <v>0.95</v>
      </c>
      <c r="M16" s="174">
        <v>0.9</v>
      </c>
      <c r="N16" s="174">
        <v>0.8</v>
      </c>
      <c r="O16" s="173">
        <f>J16*F16*K16*(1-L16)*N16*1.2/(1-M16)/1000</f>
        <v>0.30240000000000034</v>
      </c>
      <c r="P16" s="173">
        <f>I16+O16</f>
        <v>0.45240000000000036</v>
      </c>
      <c r="Q16" s="175"/>
    </row>
    <row r="17" spans="1:17" ht="19.5" customHeight="1" thickBot="1">
      <c r="A17" s="401"/>
      <c r="B17" s="402" t="s">
        <v>507</v>
      </c>
      <c r="C17" s="347"/>
      <c r="D17" s="348"/>
      <c r="E17" s="35"/>
      <c r="F17" s="217"/>
      <c r="G17" s="36"/>
      <c r="H17" s="176"/>
      <c r="I17" s="177"/>
      <c r="J17" s="36"/>
      <c r="K17" s="35"/>
      <c r="L17" s="178"/>
      <c r="M17" s="178"/>
      <c r="N17" s="178"/>
      <c r="O17" s="177"/>
      <c r="P17" s="177">
        <f>SUM(P13:P16)</f>
        <v>76.07513907692312</v>
      </c>
      <c r="Q17" s="220">
        <v>75</v>
      </c>
    </row>
    <row r="18" spans="1:5" ht="19.5" customHeight="1">
      <c r="A18" s="179"/>
      <c r="B18" s="179"/>
      <c r="C18" s="179"/>
      <c r="D18" s="179"/>
      <c r="E18" s="179"/>
    </row>
    <row r="19" spans="1:16" ht="19.5" customHeight="1">
      <c r="A19" s="373" t="s">
        <v>451</v>
      </c>
      <c r="B19" s="373"/>
      <c r="C19" s="373"/>
      <c r="D19" s="373"/>
      <c r="E19" s="373"/>
      <c r="F19" s="373"/>
      <c r="G19" s="373"/>
      <c r="H19" s="373"/>
      <c r="I19" s="373"/>
      <c r="J19" s="373"/>
      <c r="P19" s="218"/>
    </row>
    <row r="20" ht="19.5" customHeight="1">
      <c r="E20" s="219"/>
    </row>
  </sheetData>
  <mergeCells count="11">
    <mergeCell ref="Q2:Q3"/>
    <mergeCell ref="A4:A12"/>
    <mergeCell ref="A13:A17"/>
    <mergeCell ref="B17:D17"/>
    <mergeCell ref="A19:J19"/>
    <mergeCell ref="A1:I1"/>
    <mergeCell ref="B14:B15"/>
    <mergeCell ref="C14:D14"/>
    <mergeCell ref="C15:D15"/>
    <mergeCell ref="B16:D16"/>
    <mergeCell ref="A2:D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E1">
      <selection activeCell="H15" sqref="H15"/>
    </sheetView>
  </sheetViews>
  <sheetFormatPr defaultColWidth="9.00390625" defaultRowHeight="19.5" customHeight="1"/>
  <cols>
    <col min="1" max="1" width="8.00390625" style="3" bestFit="1" customWidth="1"/>
    <col min="2" max="2" width="10.125" style="3" bestFit="1" customWidth="1"/>
    <col min="3" max="3" width="5.00390625" style="3" bestFit="1" customWidth="1"/>
    <col min="4" max="4" width="8.00390625" style="3" bestFit="1" customWidth="1"/>
    <col min="5" max="5" width="6.375" style="3" bestFit="1" customWidth="1"/>
    <col min="6" max="6" width="8.00390625" style="3" bestFit="1" customWidth="1"/>
    <col min="7" max="7" width="9.625" style="3" bestFit="1" customWidth="1"/>
    <col min="8" max="14" width="8.00390625" style="3" bestFit="1" customWidth="1"/>
    <col min="15" max="15" width="8.50390625" style="3" bestFit="1" customWidth="1"/>
    <col min="16" max="16" width="6.375" style="3" bestFit="1" customWidth="1"/>
    <col min="17" max="17" width="6.75390625" style="3" customWidth="1"/>
    <col min="18" max="16384" width="9.00390625" style="3" customWidth="1"/>
  </cols>
  <sheetData>
    <row r="1" spans="1:20" ht="19.5" customHeight="1" thickBot="1">
      <c r="A1" s="351" t="s">
        <v>508</v>
      </c>
      <c r="B1" s="351"/>
      <c r="C1" s="351"/>
      <c r="D1" s="351"/>
      <c r="E1" s="351"/>
      <c r="F1" s="351"/>
      <c r="G1" s="351"/>
      <c r="H1" s="351"/>
      <c r="I1" s="351"/>
      <c r="J1" s="185"/>
      <c r="P1" s="186"/>
      <c r="Q1" s="186"/>
      <c r="R1" s="186"/>
      <c r="S1" s="186"/>
      <c r="T1" s="186"/>
    </row>
    <row r="2" spans="1:17" ht="19.5" customHeight="1">
      <c r="A2" s="337" t="s">
        <v>456</v>
      </c>
      <c r="B2" s="338"/>
      <c r="C2" s="338"/>
      <c r="D2" s="338"/>
      <c r="E2" s="187" t="s">
        <v>457</v>
      </c>
      <c r="F2" s="187" t="s">
        <v>458</v>
      </c>
      <c r="G2" s="187" t="s">
        <v>459</v>
      </c>
      <c r="H2" s="187" t="s">
        <v>460</v>
      </c>
      <c r="I2" s="187" t="s">
        <v>461</v>
      </c>
      <c r="J2" s="187" t="s">
        <v>459</v>
      </c>
      <c r="K2" s="187" t="s">
        <v>462</v>
      </c>
      <c r="L2" s="187" t="s">
        <v>463</v>
      </c>
      <c r="M2" s="187" t="s">
        <v>464</v>
      </c>
      <c r="N2" s="187" t="s">
        <v>465</v>
      </c>
      <c r="O2" s="187" t="s">
        <v>466</v>
      </c>
      <c r="P2" s="187" t="s">
        <v>467</v>
      </c>
      <c r="Q2" s="403" t="s">
        <v>468</v>
      </c>
    </row>
    <row r="3" spans="1:17" ht="19.5" customHeight="1">
      <c r="A3" s="339"/>
      <c r="B3" s="340"/>
      <c r="C3" s="340"/>
      <c r="D3" s="340"/>
      <c r="E3" s="188" t="s">
        <v>469</v>
      </c>
      <c r="F3" s="188" t="s">
        <v>470</v>
      </c>
      <c r="G3" s="188" t="s">
        <v>471</v>
      </c>
      <c r="H3" s="188" t="s">
        <v>472</v>
      </c>
      <c r="I3" s="188" t="s">
        <v>473</v>
      </c>
      <c r="J3" s="188" t="s">
        <v>474</v>
      </c>
      <c r="K3" s="188" t="s">
        <v>475</v>
      </c>
      <c r="L3" s="188" t="s">
        <v>476</v>
      </c>
      <c r="M3" s="188" t="s">
        <v>476</v>
      </c>
      <c r="N3" s="188" t="s">
        <v>477</v>
      </c>
      <c r="O3" s="188" t="s">
        <v>473</v>
      </c>
      <c r="P3" s="188" t="s">
        <v>478</v>
      </c>
      <c r="Q3" s="404"/>
    </row>
    <row r="4" spans="1:17" ht="19.5" customHeight="1">
      <c r="A4" s="382" t="s">
        <v>479</v>
      </c>
      <c r="B4" s="183" t="s">
        <v>480</v>
      </c>
      <c r="C4" s="183" t="s">
        <v>481</v>
      </c>
      <c r="D4" s="183" t="s">
        <v>482</v>
      </c>
      <c r="E4" s="189" t="s">
        <v>483</v>
      </c>
      <c r="F4" s="190" t="s">
        <v>484</v>
      </c>
      <c r="G4" s="190" t="s">
        <v>485</v>
      </c>
      <c r="H4" s="190" t="s">
        <v>2</v>
      </c>
      <c r="I4" s="190" t="s">
        <v>486</v>
      </c>
      <c r="J4" s="190" t="s">
        <v>431</v>
      </c>
      <c r="K4" s="190" t="s">
        <v>432</v>
      </c>
      <c r="L4" s="190"/>
      <c r="M4" s="190"/>
      <c r="N4" s="190"/>
      <c r="O4" s="191" t="s">
        <v>486</v>
      </c>
      <c r="P4" s="191" t="s">
        <v>486</v>
      </c>
      <c r="Q4" s="192" t="s">
        <v>486</v>
      </c>
    </row>
    <row r="5" spans="1:17" ht="19.5" customHeight="1">
      <c r="A5" s="383"/>
      <c r="B5" s="183" t="s">
        <v>487</v>
      </c>
      <c r="C5" s="183">
        <v>924</v>
      </c>
      <c r="D5" s="183">
        <v>3.2</v>
      </c>
      <c r="E5" s="193">
        <f>C5*D5</f>
        <v>2956.8</v>
      </c>
      <c r="F5" s="193">
        <f>E5*0.7</f>
        <v>2069.76</v>
      </c>
      <c r="G5" s="194">
        <v>250</v>
      </c>
      <c r="H5" s="195">
        <v>12</v>
      </c>
      <c r="I5" s="196">
        <f>F5*G5*H5/(24*1000)</f>
        <v>258.72</v>
      </c>
      <c r="J5" s="194">
        <v>0.7</v>
      </c>
      <c r="K5" s="197">
        <v>180</v>
      </c>
      <c r="L5" s="198">
        <v>0.95</v>
      </c>
      <c r="M5" s="198">
        <v>0.9</v>
      </c>
      <c r="N5" s="198">
        <v>0.8</v>
      </c>
      <c r="O5" s="196">
        <f>J5*F5*K5*(1-L5)*N5*1.2/(1-M5)/1000</f>
        <v>125.17908480000014</v>
      </c>
      <c r="P5" s="196">
        <f>I5+O5</f>
        <v>383.8990848000002</v>
      </c>
      <c r="Q5" s="199"/>
    </row>
    <row r="6" spans="1:17" ht="19.5" customHeight="1">
      <c r="A6" s="383"/>
      <c r="B6" s="183" t="s">
        <v>488</v>
      </c>
      <c r="C6" s="183">
        <v>64</v>
      </c>
      <c r="D6" s="183">
        <v>3.2</v>
      </c>
      <c r="E6" s="193">
        <f>C6*D6</f>
        <v>204.8</v>
      </c>
      <c r="F6" s="193">
        <f>E6*0.7</f>
        <v>143.35999999999999</v>
      </c>
      <c r="G6" s="194">
        <v>250</v>
      </c>
      <c r="H6" s="195">
        <v>12</v>
      </c>
      <c r="I6" s="196">
        <f>F6*G6*H6/(24*1000)</f>
        <v>17.919999999999995</v>
      </c>
      <c r="J6" s="194">
        <v>0.7</v>
      </c>
      <c r="K6" s="197">
        <f>30*6</f>
        <v>180</v>
      </c>
      <c r="L6" s="198">
        <v>0.95</v>
      </c>
      <c r="M6" s="198">
        <v>0.9</v>
      </c>
      <c r="N6" s="198">
        <v>0.8</v>
      </c>
      <c r="O6" s="196">
        <f>J6*F6*K6*(1-L6)*N6*1.2/(1-M6)/1000</f>
        <v>8.67041280000001</v>
      </c>
      <c r="P6" s="196">
        <f>I6+O6</f>
        <v>26.590412800000003</v>
      </c>
      <c r="Q6" s="199"/>
    </row>
    <row r="7" spans="1:17" ht="19.5" customHeight="1">
      <c r="A7" s="383"/>
      <c r="B7" s="200" t="s">
        <v>489</v>
      </c>
      <c r="C7" s="183">
        <v>50</v>
      </c>
      <c r="D7" s="183">
        <v>3.2</v>
      </c>
      <c r="E7" s="193">
        <f>C7*D7</f>
        <v>160</v>
      </c>
      <c r="F7" s="193">
        <f>E7*0.7</f>
        <v>112</v>
      </c>
      <c r="G7" s="194">
        <v>250</v>
      </c>
      <c r="H7" s="195">
        <v>12</v>
      </c>
      <c r="I7" s="196">
        <f>F7*G7*H7/(24*1000)</f>
        <v>14</v>
      </c>
      <c r="J7" s="194">
        <v>0.7</v>
      </c>
      <c r="K7" s="197">
        <f>30*6</f>
        <v>180</v>
      </c>
      <c r="L7" s="198">
        <v>0.95</v>
      </c>
      <c r="M7" s="198">
        <v>0.9</v>
      </c>
      <c r="N7" s="198">
        <v>0.8</v>
      </c>
      <c r="O7" s="196">
        <f>J7*F7*K7*(1-L7)*N7*1.2/(1-M7)/1000</f>
        <v>6.773760000000006</v>
      </c>
      <c r="P7" s="196">
        <f>I7+O7</f>
        <v>20.773760000000006</v>
      </c>
      <c r="Q7" s="199"/>
    </row>
    <row r="8" spans="1:17" ht="19.5" customHeight="1">
      <c r="A8" s="384"/>
      <c r="B8" s="385" t="s">
        <v>490</v>
      </c>
      <c r="C8" s="386"/>
      <c r="D8" s="387"/>
      <c r="E8" s="197"/>
      <c r="F8" s="193"/>
      <c r="G8" s="194"/>
      <c r="H8" s="201"/>
      <c r="I8" s="196"/>
      <c r="J8" s="194"/>
      <c r="K8" s="197"/>
      <c r="L8" s="198"/>
      <c r="M8" s="198"/>
      <c r="N8" s="198"/>
      <c r="O8" s="196"/>
      <c r="P8" s="196">
        <f>SUM(P5:P7)</f>
        <v>431.2632576000002</v>
      </c>
      <c r="Q8" s="199"/>
    </row>
    <row r="9" spans="1:17" ht="19.5" customHeight="1">
      <c r="A9" s="382" t="s">
        <v>491</v>
      </c>
      <c r="B9" s="202" t="s">
        <v>433</v>
      </c>
      <c r="C9" s="183">
        <v>13</v>
      </c>
      <c r="D9" s="183">
        <v>2</v>
      </c>
      <c r="E9" s="193">
        <f>C9*D9</f>
        <v>26</v>
      </c>
      <c r="F9" s="193">
        <f>E9*0.7</f>
        <v>18.2</v>
      </c>
      <c r="G9" s="194">
        <v>250</v>
      </c>
      <c r="H9" s="201">
        <v>12</v>
      </c>
      <c r="I9" s="196">
        <f>F9*G9*H9/(24*1000)</f>
        <v>2.275</v>
      </c>
      <c r="J9" s="194">
        <v>0.7</v>
      </c>
      <c r="K9" s="197">
        <f>30*6</f>
        <v>180</v>
      </c>
      <c r="L9" s="198">
        <v>0.95</v>
      </c>
      <c r="M9" s="198">
        <v>0.9</v>
      </c>
      <c r="N9" s="198">
        <v>0.8</v>
      </c>
      <c r="O9" s="196">
        <f>J9*F9*K9*(1-L9)*N9*1.2/(1-M9)/1000</f>
        <v>1.1007360000000013</v>
      </c>
      <c r="P9" s="196">
        <f>I9+O9</f>
        <v>3.375736000000001</v>
      </c>
      <c r="Q9" s="199"/>
    </row>
    <row r="10" spans="1:17" ht="19.5" customHeight="1">
      <c r="A10" s="383"/>
      <c r="B10" s="388" t="s">
        <v>492</v>
      </c>
      <c r="C10" s="388" t="s">
        <v>493</v>
      </c>
      <c r="D10" s="388"/>
      <c r="E10" s="197">
        <v>3000</v>
      </c>
      <c r="F10" s="193">
        <f>E10*0.1</f>
        <v>300</v>
      </c>
      <c r="G10" s="194">
        <v>30</v>
      </c>
      <c r="H10" s="201">
        <v>12</v>
      </c>
      <c r="I10" s="196">
        <f>F10*G10*H10/(24*1000)</f>
        <v>4.5</v>
      </c>
      <c r="J10" s="194">
        <v>0.7</v>
      </c>
      <c r="K10" s="197">
        <f>30*6</f>
        <v>180</v>
      </c>
      <c r="L10" s="198">
        <v>0.95</v>
      </c>
      <c r="M10" s="198">
        <v>0.9</v>
      </c>
      <c r="N10" s="198">
        <v>0.8</v>
      </c>
      <c r="O10" s="196">
        <f>J10*F10*K10*(1-L10)*N10*1.2/(1-M10)/1000</f>
        <v>18.144000000000023</v>
      </c>
      <c r="P10" s="196">
        <f>I10+O10</f>
        <v>22.644000000000023</v>
      </c>
      <c r="Q10" s="199"/>
    </row>
    <row r="11" spans="1:17" ht="19.5" customHeight="1">
      <c r="A11" s="383"/>
      <c r="B11" s="388"/>
      <c r="C11" s="388" t="s">
        <v>494</v>
      </c>
      <c r="D11" s="388"/>
      <c r="E11" s="197">
        <f>26925/3/3*2/1.3+460</f>
        <v>5062.5641025641025</v>
      </c>
      <c r="F11" s="193">
        <f>E11*0.1</f>
        <v>506.2564102564103</v>
      </c>
      <c r="G11" s="194">
        <v>75</v>
      </c>
      <c r="H11" s="201">
        <v>12</v>
      </c>
      <c r="I11" s="196">
        <f>F11*G11*H11/(24*1000)</f>
        <v>18.984615384615385</v>
      </c>
      <c r="J11" s="194">
        <v>0.7</v>
      </c>
      <c r="K11" s="197">
        <f>30*6</f>
        <v>180</v>
      </c>
      <c r="L11" s="198">
        <v>0.95</v>
      </c>
      <c r="M11" s="198">
        <v>0.9</v>
      </c>
      <c r="N11" s="198">
        <v>0.8</v>
      </c>
      <c r="O11" s="196">
        <f>J11*F11*K11*(1-L11)*N11*1.2/(1-M11)/1000</f>
        <v>30.618387692307724</v>
      </c>
      <c r="P11" s="196">
        <f>I11+O11</f>
        <v>49.60300307692311</v>
      </c>
      <c r="Q11" s="199"/>
    </row>
    <row r="12" spans="1:17" ht="19.5" customHeight="1">
      <c r="A12" s="383"/>
      <c r="B12" s="388" t="s">
        <v>495</v>
      </c>
      <c r="C12" s="388"/>
      <c r="D12" s="388"/>
      <c r="E12" s="197">
        <v>50</v>
      </c>
      <c r="F12" s="193">
        <f>E12*0.1</f>
        <v>5</v>
      </c>
      <c r="G12" s="194">
        <v>60</v>
      </c>
      <c r="H12" s="201">
        <v>12</v>
      </c>
      <c r="I12" s="196">
        <f>F12*G12*H12/(24*1000)</f>
        <v>0.15</v>
      </c>
      <c r="J12" s="194">
        <v>0.7</v>
      </c>
      <c r="K12" s="197">
        <f>30*6</f>
        <v>180</v>
      </c>
      <c r="L12" s="198">
        <v>0.95</v>
      </c>
      <c r="M12" s="198">
        <v>0.9</v>
      </c>
      <c r="N12" s="198">
        <v>0.8</v>
      </c>
      <c r="O12" s="196">
        <f>J12*F12*K12*(1-L12)*N12*1.2/(1-M12)/1000</f>
        <v>0.30240000000000034</v>
      </c>
      <c r="P12" s="196">
        <f>I12+O12</f>
        <v>0.45240000000000036</v>
      </c>
      <c r="Q12" s="199"/>
    </row>
    <row r="13" spans="1:17" ht="19.5" customHeight="1">
      <c r="A13" s="383"/>
      <c r="B13" s="385" t="s">
        <v>496</v>
      </c>
      <c r="C13" s="386"/>
      <c r="D13" s="387"/>
      <c r="E13" s="203"/>
      <c r="F13" s="204"/>
      <c r="G13" s="205"/>
      <c r="H13" s="206"/>
      <c r="I13" s="207"/>
      <c r="J13" s="205"/>
      <c r="K13" s="203"/>
      <c r="L13" s="208"/>
      <c r="M13" s="208"/>
      <c r="N13" s="208"/>
      <c r="O13" s="207"/>
      <c r="P13" s="207">
        <f>SUM(P9:P12)</f>
        <v>76.07513907692312</v>
      </c>
      <c r="Q13" s="209"/>
    </row>
    <row r="14" spans="1:17" ht="19.5" customHeight="1" thickBot="1">
      <c r="A14" s="405"/>
      <c r="B14" s="406" t="s">
        <v>497</v>
      </c>
      <c r="C14" s="407"/>
      <c r="D14" s="407"/>
      <c r="E14" s="210"/>
      <c r="F14" s="40"/>
      <c r="G14" s="211"/>
      <c r="H14" s="212"/>
      <c r="I14" s="213"/>
      <c r="J14" s="211"/>
      <c r="K14" s="210"/>
      <c r="L14" s="214"/>
      <c r="M14" s="214"/>
      <c r="N14" s="214"/>
      <c r="O14" s="213"/>
      <c r="P14" s="213">
        <f>P8+P13</f>
        <v>507.3383966769233</v>
      </c>
      <c r="Q14" s="215">
        <v>510</v>
      </c>
    </row>
    <row r="15" spans="1:5" ht="19.5" customHeight="1">
      <c r="A15" s="216"/>
      <c r="B15" s="216"/>
      <c r="C15" s="216"/>
      <c r="D15" s="216"/>
      <c r="E15" s="216"/>
    </row>
    <row r="16" spans="1:10" ht="19.5" customHeight="1">
      <c r="A16" s="373" t="s">
        <v>498</v>
      </c>
      <c r="B16" s="373"/>
      <c r="C16" s="373"/>
      <c r="D16" s="373"/>
      <c r="E16" s="373"/>
      <c r="F16" s="373"/>
      <c r="G16" s="373"/>
      <c r="H16" s="373"/>
      <c r="I16" s="373"/>
      <c r="J16" s="373"/>
    </row>
  </sheetData>
  <mergeCells count="13">
    <mergeCell ref="A16:J16"/>
    <mergeCell ref="A1:I1"/>
    <mergeCell ref="B10:B11"/>
    <mergeCell ref="C10:D10"/>
    <mergeCell ref="C11:D11"/>
    <mergeCell ref="B12:D12"/>
    <mergeCell ref="B14:D14"/>
    <mergeCell ref="A2:D3"/>
    <mergeCell ref="Q2:Q3"/>
    <mergeCell ref="A4:A8"/>
    <mergeCell ref="B8:D8"/>
    <mergeCell ref="A9:A14"/>
    <mergeCell ref="B13:D1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G5" sqref="G5"/>
    </sheetView>
  </sheetViews>
  <sheetFormatPr defaultColWidth="9.00390625" defaultRowHeight="16.5"/>
  <cols>
    <col min="1" max="1" width="12.25390625" style="233" bestFit="1" customWidth="1"/>
    <col min="2" max="2" width="10.875" style="233" bestFit="1" customWidth="1"/>
    <col min="3" max="3" width="8.875" style="233" bestFit="1" customWidth="1"/>
    <col min="4" max="4" width="7.625" style="233" bestFit="1" customWidth="1"/>
    <col min="5" max="5" width="13.75390625" style="233" bestFit="1" customWidth="1"/>
    <col min="6" max="6" width="8.50390625" style="233" bestFit="1" customWidth="1"/>
    <col min="7" max="7" width="12.25390625" style="233" bestFit="1" customWidth="1"/>
    <col min="8" max="16384" width="9.00390625" style="233" customWidth="1"/>
  </cols>
  <sheetData>
    <row r="1" spans="1:8" s="3" customFormat="1" ht="19.5" customHeight="1" thickBot="1">
      <c r="A1" s="362" t="s">
        <v>623</v>
      </c>
      <c r="B1" s="362"/>
      <c r="C1" s="362"/>
      <c r="D1" s="362"/>
      <c r="E1" s="362"/>
      <c r="F1" s="362"/>
      <c r="G1" s="221"/>
      <c r="H1" s="167"/>
    </row>
    <row r="2" spans="1:7" s="3" customFormat="1" ht="19.5" customHeight="1">
      <c r="A2" s="408" t="s">
        <v>509</v>
      </c>
      <c r="B2" s="409"/>
      <c r="C2" s="222" t="s">
        <v>510</v>
      </c>
      <c r="D2" s="169" t="s">
        <v>511</v>
      </c>
      <c r="E2" s="169" t="s">
        <v>512</v>
      </c>
      <c r="F2" s="223" t="s">
        <v>513</v>
      </c>
      <c r="G2" s="166" t="s">
        <v>514</v>
      </c>
    </row>
    <row r="3" spans="1:7" s="3" customFormat="1" ht="19.5" customHeight="1">
      <c r="A3" s="224" t="s">
        <v>515</v>
      </c>
      <c r="B3" s="1" t="s">
        <v>517</v>
      </c>
      <c r="C3" s="225" t="s">
        <v>518</v>
      </c>
      <c r="D3" s="226" t="s">
        <v>519</v>
      </c>
      <c r="E3" s="226" t="s">
        <v>520</v>
      </c>
      <c r="F3" s="8"/>
      <c r="G3" s="227" t="s">
        <v>521</v>
      </c>
    </row>
    <row r="4" spans="1:7" s="3" customFormat="1" ht="19.5" customHeight="1">
      <c r="A4" s="164" t="s">
        <v>624</v>
      </c>
      <c r="B4" s="174">
        <f>17000*1.2</f>
        <v>20400</v>
      </c>
      <c r="C4" s="1">
        <v>15</v>
      </c>
      <c r="D4" s="1">
        <v>3</v>
      </c>
      <c r="E4" s="11">
        <f>2822*(1+0.775*LOG10(D4))/POWER(C4+12.8*POWER(D4,0.076),0.77)</f>
        <v>289.83039492457704</v>
      </c>
      <c r="F4" s="5">
        <v>0.6</v>
      </c>
      <c r="G4" s="228">
        <f>E4*F4*B4/10000</f>
        <v>354.7524033876823</v>
      </c>
    </row>
    <row r="5" spans="1:8" s="3" customFormat="1" ht="19.5" customHeight="1">
      <c r="A5" s="164" t="s">
        <v>624</v>
      </c>
      <c r="B5" s="174">
        <f>14000</f>
        <v>14000</v>
      </c>
      <c r="C5" s="1">
        <v>15</v>
      </c>
      <c r="D5" s="1">
        <v>3</v>
      </c>
      <c r="E5" s="11">
        <f>2822*(1+0.775*LOG10(D5))/POWER(C5+12.8*POWER(D5,0.076),0.77)</f>
        <v>289.83039492457704</v>
      </c>
      <c r="F5" s="5">
        <v>0.3</v>
      </c>
      <c r="G5" s="228">
        <f>E5*F5*B5/10000</f>
        <v>121.72876586832234</v>
      </c>
      <c r="H5" s="218">
        <f>SUM(G4:G5)</f>
        <v>476.48116925600465</v>
      </c>
    </row>
    <row r="6" spans="1:8" s="3" customFormat="1" ht="19.5" customHeight="1">
      <c r="A6" s="164" t="s">
        <v>669</v>
      </c>
      <c r="B6" s="174">
        <f>6200*1.2</f>
        <v>7440</v>
      </c>
      <c r="C6" s="1">
        <v>15</v>
      </c>
      <c r="D6" s="1">
        <v>3</v>
      </c>
      <c r="E6" s="11">
        <f>2822*(1+0.775*LOG10(D6))/POWER(C6+12.8*POWER(D6,0.076),0.77)</f>
        <v>289.83039492457704</v>
      </c>
      <c r="F6" s="5">
        <v>0.6</v>
      </c>
      <c r="G6" s="228">
        <f>E6*F6*B6/10000</f>
        <v>129.38028829433117</v>
      </c>
      <c r="H6" s="218"/>
    </row>
    <row r="7" spans="1:8" s="3" customFormat="1" ht="19.5" customHeight="1">
      <c r="A7" s="164" t="s">
        <v>625</v>
      </c>
      <c r="B7" s="174">
        <v>3100</v>
      </c>
      <c r="C7" s="1">
        <v>15</v>
      </c>
      <c r="D7" s="1">
        <v>3</v>
      </c>
      <c r="E7" s="11">
        <f>2822*(1+0.775*LOG10(D7))/POWER(C7+12.8*POWER(D7,0.076),0.77)</f>
        <v>289.83039492457704</v>
      </c>
      <c r="F7" s="5">
        <v>0.3</v>
      </c>
      <c r="G7" s="228">
        <f>E7*F7*B7/10000</f>
        <v>26.95422672798566</v>
      </c>
      <c r="H7" s="218"/>
    </row>
    <row r="8" spans="1:7" s="3" customFormat="1" ht="19.5" customHeight="1" thickBot="1">
      <c r="A8" s="309" t="s">
        <v>626</v>
      </c>
      <c r="B8" s="178">
        <f>12000+40*145*3/2</f>
        <v>20700</v>
      </c>
      <c r="C8" s="36">
        <v>15</v>
      </c>
      <c r="D8" s="36">
        <v>3</v>
      </c>
      <c r="E8" s="39">
        <f>2822*(1+0.775*LOG10(D8))/POWER(C8+12.8*POWER(D8,0.076),0.77)</f>
        <v>289.83039492457704</v>
      </c>
      <c r="F8" s="165">
        <v>0.6</v>
      </c>
      <c r="G8" s="229">
        <f>E8*F8*B8/10000</f>
        <v>359.96935049632464</v>
      </c>
    </row>
    <row r="9" spans="1:7" s="3" customFormat="1" ht="19.5" customHeight="1">
      <c r="A9" s="181"/>
      <c r="B9" s="230"/>
      <c r="C9" s="231"/>
      <c r="D9" s="231"/>
      <c r="E9" s="232"/>
      <c r="F9" s="181"/>
      <c r="G9" s="232"/>
    </row>
    <row r="10" spans="1:7" s="3" customFormat="1" ht="15" customHeight="1">
      <c r="A10" s="410" t="s">
        <v>628</v>
      </c>
      <c r="B10" s="410"/>
      <c r="C10" s="410"/>
      <c r="D10" s="410"/>
      <c r="E10" s="410"/>
      <c r="F10" s="410"/>
      <c r="G10" s="410"/>
    </row>
    <row r="11" spans="1:7" s="3" customFormat="1" ht="11.25" customHeight="1">
      <c r="A11" s="410"/>
      <c r="B11" s="410"/>
      <c r="C11" s="410"/>
      <c r="D11" s="410"/>
      <c r="E11" s="410"/>
      <c r="F11" s="410"/>
      <c r="G11" s="410"/>
    </row>
    <row r="12" s="3" customFormat="1" ht="19.5" customHeight="1">
      <c r="G12" s="218"/>
    </row>
    <row r="13" spans="1:8" s="3" customFormat="1" ht="19.5" customHeight="1" thickBot="1">
      <c r="A13" s="362" t="s">
        <v>623</v>
      </c>
      <c r="B13" s="362"/>
      <c r="C13" s="362"/>
      <c r="D13" s="362"/>
      <c r="E13" s="362"/>
      <c r="F13" s="362"/>
      <c r="G13" s="221"/>
      <c r="H13" s="167"/>
    </row>
    <row r="14" spans="1:7" s="3" customFormat="1" ht="19.5" customHeight="1">
      <c r="A14" s="408" t="s">
        <v>509</v>
      </c>
      <c r="B14" s="409"/>
      <c r="C14" s="222" t="s">
        <v>510</v>
      </c>
      <c r="D14" s="169" t="s">
        <v>511</v>
      </c>
      <c r="E14" s="169" t="s">
        <v>512</v>
      </c>
      <c r="F14" s="223" t="s">
        <v>513</v>
      </c>
      <c r="G14" s="166" t="s">
        <v>514</v>
      </c>
    </row>
    <row r="15" spans="1:7" s="3" customFormat="1" ht="19.5" customHeight="1">
      <c r="A15" s="224" t="s">
        <v>515</v>
      </c>
      <c r="B15" s="1" t="s">
        <v>517</v>
      </c>
      <c r="C15" s="225" t="s">
        <v>518</v>
      </c>
      <c r="D15" s="226" t="s">
        <v>519</v>
      </c>
      <c r="E15" s="226" t="s">
        <v>520</v>
      </c>
      <c r="F15" s="8"/>
      <c r="G15" s="227" t="s">
        <v>521</v>
      </c>
    </row>
    <row r="16" spans="1:7" s="3" customFormat="1" ht="19.5" customHeight="1">
      <c r="A16" s="164" t="s">
        <v>624</v>
      </c>
      <c r="B16" s="174">
        <f>13000*1.2</f>
        <v>15600</v>
      </c>
      <c r="C16" s="1">
        <v>15</v>
      </c>
      <c r="D16" s="1">
        <v>3</v>
      </c>
      <c r="E16" s="11">
        <f>2822*(1+0.775*LOG10(D16))/POWER(C16+12.8*POWER(D16,0.076),0.77)</f>
        <v>289.83039492457704</v>
      </c>
      <c r="F16" s="5">
        <v>0.6</v>
      </c>
      <c r="G16" s="228">
        <f>E16*F16*B16/10000</f>
        <v>271.28124964940406</v>
      </c>
    </row>
    <row r="17" spans="1:7" s="3" customFormat="1" ht="19.5" customHeight="1">
      <c r="A17" s="164" t="s">
        <v>625</v>
      </c>
      <c r="B17" s="174">
        <f>4600*1.2</f>
        <v>5520</v>
      </c>
      <c r="C17" s="1">
        <v>15</v>
      </c>
      <c r="D17" s="1">
        <v>3</v>
      </c>
      <c r="E17" s="11">
        <f>2822*(1+0.775*LOG10(D17))/POWER(C17+12.8*POWER(D17,0.076),0.77)</f>
        <v>289.83039492457704</v>
      </c>
      <c r="F17" s="5">
        <v>0.6</v>
      </c>
      <c r="G17" s="228">
        <f>E17*F17*B17/10000</f>
        <v>95.9918267990199</v>
      </c>
    </row>
    <row r="18" spans="1:7" s="3" customFormat="1" ht="19.5" customHeight="1">
      <c r="A18" s="164" t="s">
        <v>626</v>
      </c>
      <c r="B18" s="174">
        <f>6200*1.2</f>
        <v>7440</v>
      </c>
      <c r="C18" s="1">
        <v>15</v>
      </c>
      <c r="D18" s="1">
        <v>3</v>
      </c>
      <c r="E18" s="11">
        <f>2822*(1+0.775*LOG10(D18))/POWER(C18+12.8*POWER(D18,0.076),0.77)</f>
        <v>289.83039492457704</v>
      </c>
      <c r="F18" s="5">
        <v>0.6</v>
      </c>
      <c r="G18" s="228">
        <f>E18*F18*B18/10000</f>
        <v>129.38028829433117</v>
      </c>
    </row>
    <row r="19" spans="1:7" s="3" customFormat="1" ht="19.5" customHeight="1" thickBot="1">
      <c r="A19" s="309" t="s">
        <v>627</v>
      </c>
      <c r="B19" s="178">
        <f>18000+40*145*3/2</f>
        <v>26700</v>
      </c>
      <c r="C19" s="36">
        <v>15</v>
      </c>
      <c r="D19" s="36">
        <v>3</v>
      </c>
      <c r="E19" s="39">
        <f>2822*(1+0.775*LOG10(D19))/POWER(C19+12.8*POWER(D19,0.076),0.77)</f>
        <v>289.83039492457704</v>
      </c>
      <c r="F19" s="165">
        <v>0.6</v>
      </c>
      <c r="G19" s="229">
        <f>E19*F19*B19/10000</f>
        <v>464.3082926691724</v>
      </c>
    </row>
    <row r="20" spans="1:7" s="3" customFormat="1" ht="19.5" customHeight="1">
      <c r="A20" s="181"/>
      <c r="B20" s="230"/>
      <c r="C20" s="231"/>
      <c r="D20" s="231"/>
      <c r="E20" s="232"/>
      <c r="F20" s="181"/>
      <c r="G20" s="232"/>
    </row>
    <row r="21" spans="1:7" s="3" customFormat="1" ht="15" customHeight="1">
      <c r="A21" s="410" t="s">
        <v>628</v>
      </c>
      <c r="B21" s="410"/>
      <c r="C21" s="410"/>
      <c r="D21" s="410"/>
      <c r="E21" s="410"/>
      <c r="F21" s="410"/>
      <c r="G21" s="410"/>
    </row>
    <row r="22" spans="1:7" s="3" customFormat="1" ht="11.25" customHeight="1">
      <c r="A22" s="410"/>
      <c r="B22" s="410"/>
      <c r="C22" s="410"/>
      <c r="D22" s="410"/>
      <c r="E22" s="410"/>
      <c r="F22" s="410"/>
      <c r="G22" s="410"/>
    </row>
  </sheetData>
  <mergeCells count="6">
    <mergeCell ref="A14:B14"/>
    <mergeCell ref="A21:G22"/>
    <mergeCell ref="A10:G11"/>
    <mergeCell ref="A1:F1"/>
    <mergeCell ref="A2:B2"/>
    <mergeCell ref="A13:F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4"/>
  <sheetViews>
    <sheetView workbookViewId="0" topLeftCell="A1">
      <selection activeCell="H15" sqref="H15"/>
    </sheetView>
  </sheetViews>
  <sheetFormatPr defaultColWidth="9.00390625" defaultRowHeight="16.5"/>
  <cols>
    <col min="1" max="1" width="5.00390625" style="233" bestFit="1" customWidth="1"/>
    <col min="2" max="2" width="6.25390625" style="233" bestFit="1" customWidth="1"/>
    <col min="3" max="4" width="10.875" style="233" bestFit="1" customWidth="1"/>
    <col min="5" max="5" width="8.00390625" style="233" bestFit="1" customWidth="1"/>
    <col min="6" max="6" width="5.875" style="233" bestFit="1" customWidth="1"/>
    <col min="7" max="7" width="5.75390625" style="233" bestFit="1" customWidth="1"/>
    <col min="8" max="8" width="14.25390625" style="233" bestFit="1" customWidth="1"/>
    <col min="9" max="9" width="5.25390625" style="233" bestFit="1" customWidth="1"/>
    <col min="10" max="10" width="6.375" style="233" bestFit="1" customWidth="1"/>
    <col min="11" max="11" width="8.00390625" style="233" bestFit="1" customWidth="1"/>
    <col min="12" max="12" width="4.75390625" style="233" bestFit="1" customWidth="1"/>
    <col min="13" max="13" width="8.00390625" style="233" bestFit="1" customWidth="1"/>
    <col min="14" max="14" width="6.875" style="233" bestFit="1" customWidth="1"/>
    <col min="15" max="15" width="7.50390625" style="279" customWidth="1"/>
    <col min="16" max="16" width="6.375" style="279" customWidth="1"/>
    <col min="17" max="17" width="9.00390625" style="279" customWidth="1"/>
    <col min="18" max="18" width="8.75390625" style="279" customWidth="1"/>
    <col min="19" max="19" width="9.625" style="279" customWidth="1"/>
    <col min="20" max="21" width="8.00390625" style="279" customWidth="1"/>
    <col min="22" max="22" width="4.75390625" style="279" customWidth="1"/>
    <col min="23" max="25" width="8.00390625" style="279" customWidth="1"/>
    <col min="26" max="26" width="4.875" style="279" customWidth="1"/>
    <col min="27" max="28" width="8.00390625" style="279" customWidth="1"/>
    <col min="29" max="29" width="9.375" style="279" customWidth="1"/>
    <col min="30" max="16384" width="9.00390625" style="233" customWidth="1"/>
  </cols>
  <sheetData>
    <row r="1" spans="1:14" s="3" customFormat="1" ht="19.5" customHeight="1" thickBot="1">
      <c r="A1" s="414" t="s">
        <v>524</v>
      </c>
      <c r="B1" s="414"/>
      <c r="C1" s="414"/>
      <c r="D1" s="414"/>
      <c r="E1" s="414"/>
      <c r="F1" s="414"/>
      <c r="G1" s="414"/>
      <c r="H1" s="414"/>
      <c r="I1" s="414"/>
      <c r="J1" s="234"/>
      <c r="K1" s="234"/>
      <c r="L1" s="234"/>
      <c r="M1" s="234"/>
      <c r="N1" s="235"/>
    </row>
    <row r="2" spans="1:29" s="3" customFormat="1" ht="19.5" customHeight="1">
      <c r="A2" s="415" t="s">
        <v>525</v>
      </c>
      <c r="B2" s="416"/>
      <c r="C2" s="236" t="s">
        <v>526</v>
      </c>
      <c r="D2" s="236" t="s">
        <v>527</v>
      </c>
      <c r="E2" s="236" t="s">
        <v>528</v>
      </c>
      <c r="F2" s="236" t="s">
        <v>529</v>
      </c>
      <c r="G2" s="236" t="s">
        <v>530</v>
      </c>
      <c r="H2" s="236" t="s">
        <v>531</v>
      </c>
      <c r="I2" s="236" t="s">
        <v>532</v>
      </c>
      <c r="J2" s="237" t="s">
        <v>533</v>
      </c>
      <c r="K2" s="237" t="s">
        <v>534</v>
      </c>
      <c r="L2" s="238" t="s">
        <v>535</v>
      </c>
      <c r="M2" s="238" t="s">
        <v>536</v>
      </c>
      <c r="N2" s="239" t="s">
        <v>538</v>
      </c>
      <c r="O2" s="72" t="s">
        <v>539</v>
      </c>
      <c r="P2" s="19" t="s">
        <v>540</v>
      </c>
      <c r="Q2" s="19" t="s">
        <v>541</v>
      </c>
      <c r="R2" s="240" t="s">
        <v>542</v>
      </c>
      <c r="S2" s="19" t="s">
        <v>543</v>
      </c>
      <c r="T2" s="19" t="s">
        <v>544</v>
      </c>
      <c r="U2" s="19" t="s">
        <v>545</v>
      </c>
      <c r="V2" s="19" t="s">
        <v>546</v>
      </c>
      <c r="W2" s="19" t="s">
        <v>547</v>
      </c>
      <c r="X2" s="417" t="s">
        <v>548</v>
      </c>
      <c r="Y2" s="417" t="s">
        <v>549</v>
      </c>
      <c r="Z2" s="19" t="s">
        <v>550</v>
      </c>
      <c r="AA2" s="19" t="s">
        <v>551</v>
      </c>
      <c r="AB2" s="19" t="s">
        <v>551</v>
      </c>
      <c r="AC2" s="37" t="s">
        <v>551</v>
      </c>
    </row>
    <row r="3" spans="1:29" s="3" customFormat="1" ht="19.5" customHeight="1">
      <c r="A3" s="420" t="s">
        <v>516</v>
      </c>
      <c r="B3" s="421"/>
      <c r="C3" s="241" t="s">
        <v>552</v>
      </c>
      <c r="D3" s="241" t="s">
        <v>552</v>
      </c>
      <c r="E3" s="241" t="s">
        <v>553</v>
      </c>
      <c r="F3" s="241" t="s">
        <v>554</v>
      </c>
      <c r="G3" s="241" t="s">
        <v>555</v>
      </c>
      <c r="H3" s="242" t="s">
        <v>556</v>
      </c>
      <c r="I3" s="241" t="s">
        <v>557</v>
      </c>
      <c r="J3" s="243" t="s">
        <v>558</v>
      </c>
      <c r="K3" s="244" t="s">
        <v>559</v>
      </c>
      <c r="L3" s="245" t="s">
        <v>560</v>
      </c>
      <c r="M3" s="245" t="s">
        <v>561</v>
      </c>
      <c r="N3" s="246"/>
      <c r="O3" s="73" t="s">
        <v>562</v>
      </c>
      <c r="P3" s="20" t="s">
        <v>563</v>
      </c>
      <c r="Q3" s="20"/>
      <c r="R3" s="247"/>
      <c r="S3" s="20" t="s">
        <v>552</v>
      </c>
      <c r="T3" s="20"/>
      <c r="U3" s="20" t="s">
        <v>564</v>
      </c>
      <c r="V3" s="20"/>
      <c r="W3" s="20"/>
      <c r="X3" s="418"/>
      <c r="Y3" s="418"/>
      <c r="Z3" s="20"/>
      <c r="AA3" s="20"/>
      <c r="AB3" s="20"/>
      <c r="AC3" s="63"/>
    </row>
    <row r="4" spans="1:29" s="3" customFormat="1" ht="19.5" customHeight="1">
      <c r="A4" s="422"/>
      <c r="B4" s="423"/>
      <c r="C4" s="248" t="s">
        <v>565</v>
      </c>
      <c r="D4" s="248" t="s">
        <v>565</v>
      </c>
      <c r="E4" s="248" t="s">
        <v>518</v>
      </c>
      <c r="F4" s="248"/>
      <c r="G4" s="249" t="s">
        <v>566</v>
      </c>
      <c r="H4" s="249" t="s">
        <v>518</v>
      </c>
      <c r="I4" s="248" t="s">
        <v>518</v>
      </c>
      <c r="J4" s="250" t="s">
        <v>519</v>
      </c>
      <c r="K4" s="250" t="s">
        <v>520</v>
      </c>
      <c r="L4" s="251"/>
      <c r="M4" s="251" t="s">
        <v>521</v>
      </c>
      <c r="N4" s="252" t="s">
        <v>568</v>
      </c>
      <c r="O4" s="109" t="s">
        <v>566</v>
      </c>
      <c r="P4" s="23"/>
      <c r="Q4" s="23" t="s">
        <v>569</v>
      </c>
      <c r="R4" s="67" t="s">
        <v>570</v>
      </c>
      <c r="S4" s="23" t="s">
        <v>565</v>
      </c>
      <c r="T4" s="23" t="s">
        <v>565</v>
      </c>
      <c r="U4" s="23" t="s">
        <v>565</v>
      </c>
      <c r="V4" s="23" t="s">
        <v>565</v>
      </c>
      <c r="W4" s="23" t="s">
        <v>566</v>
      </c>
      <c r="X4" s="419"/>
      <c r="Y4" s="419"/>
      <c r="Z4" s="67" t="s">
        <v>571</v>
      </c>
      <c r="AA4" s="67" t="s">
        <v>572</v>
      </c>
      <c r="AB4" s="67" t="s">
        <v>573</v>
      </c>
      <c r="AC4" s="68" t="s">
        <v>521</v>
      </c>
    </row>
    <row r="5" spans="1:29" s="3" customFormat="1" ht="19.5" customHeight="1">
      <c r="A5" s="411" t="s">
        <v>574</v>
      </c>
      <c r="B5" s="253" t="s">
        <v>522</v>
      </c>
      <c r="C5" s="253">
        <v>1000</v>
      </c>
      <c r="D5" s="253">
        <v>1000</v>
      </c>
      <c r="E5" s="253">
        <v>10</v>
      </c>
      <c r="F5" s="253">
        <v>2</v>
      </c>
      <c r="G5" s="253">
        <v>30</v>
      </c>
      <c r="H5" s="253">
        <v>0</v>
      </c>
      <c r="I5" s="254">
        <f aca="true" t="shared" si="0" ref="I5:I22">E5+F5*H5</f>
        <v>10</v>
      </c>
      <c r="J5" s="254">
        <v>2</v>
      </c>
      <c r="K5" s="11">
        <f>2424.17*(1+0.533*LOG10(J5))/POWER(I5+11,0.668)</f>
        <v>368.08374379010144</v>
      </c>
      <c r="L5" s="255">
        <v>0.6</v>
      </c>
      <c r="M5" s="256">
        <f aca="true" t="shared" si="1" ref="M5:M22">K5*L5*D5/10000</f>
        <v>22.085024627406085</v>
      </c>
      <c r="N5" s="257">
        <v>300</v>
      </c>
      <c r="O5" s="258">
        <v>0.3</v>
      </c>
      <c r="P5" s="18">
        <v>1</v>
      </c>
      <c r="Q5" s="11">
        <f aca="true" t="shared" si="2" ref="Q5:Q22">ACOS(2*P5-1)</f>
        <v>0</v>
      </c>
      <c r="R5" s="11">
        <f aca="true" t="shared" si="3" ref="R5:R22">SIN(Q5)</f>
        <v>0</v>
      </c>
      <c r="S5" s="259">
        <f aca="true" t="shared" si="4" ref="S5:S22">O5*O5/4*(2*P5-1)*R5</f>
        <v>0</v>
      </c>
      <c r="T5" s="259">
        <f aca="true" t="shared" si="5" ref="T5:T22">3.14159*O5*O5/4/(2*3.14159)*(2*3.14159-2*Q5)</f>
        <v>0.07068577499999999</v>
      </c>
      <c r="U5" s="260">
        <f aca="true" t="shared" si="6" ref="U5:U22">S5+T5</f>
        <v>0.07068577499999999</v>
      </c>
      <c r="V5" s="11">
        <f aca="true" t="shared" si="7" ref="V5:V22">O5/2*(2*3.14159-2*Q5)</f>
        <v>0.9424769999999999</v>
      </c>
      <c r="W5" s="261">
        <f aca="true" t="shared" si="8" ref="W5:W22">U5/V5</f>
        <v>0.075</v>
      </c>
      <c r="X5" s="18">
        <v>0.014</v>
      </c>
      <c r="Y5" s="18">
        <v>0.008</v>
      </c>
      <c r="Z5" s="262">
        <f aca="true" t="shared" si="9" ref="Z5:Z22">1/X5*POWER(W5,2/3)*POWER(Y5,1/2)</f>
        <v>1.1362078882219484</v>
      </c>
      <c r="AA5" s="263">
        <f aca="true" t="shared" si="10" ref="AA5:AA22">U5*Z5</f>
        <v>0.08031373514008179</v>
      </c>
      <c r="AB5" s="264">
        <f aca="true" t="shared" si="11" ref="AB5:AB22">AA5*3600</f>
        <v>289.12944650429444</v>
      </c>
      <c r="AC5" s="265">
        <f aca="true" t="shared" si="12" ref="AC5:AC22">AB5/3.6</f>
        <v>80.31373514008179</v>
      </c>
    </row>
    <row r="6" spans="1:29" s="3" customFormat="1" ht="19.5" customHeight="1">
      <c r="A6" s="412"/>
      <c r="B6" s="253" t="s">
        <v>33</v>
      </c>
      <c r="C6" s="253">
        <v>1000</v>
      </c>
      <c r="D6" s="253">
        <f>D5+C6</f>
        <v>2000</v>
      </c>
      <c r="E6" s="253">
        <v>10</v>
      </c>
      <c r="F6" s="253">
        <v>2</v>
      </c>
      <c r="G6" s="253">
        <v>30</v>
      </c>
      <c r="H6" s="253">
        <f>G5/Z5/60+H5</f>
        <v>0.4400603139469925</v>
      </c>
      <c r="I6" s="254">
        <f t="shared" si="0"/>
        <v>10.880120627893985</v>
      </c>
      <c r="J6" s="254">
        <v>2</v>
      </c>
      <c r="K6" s="11">
        <f>2424.17*(1+0.533*LOG10(J6))/POWER(I6+11,0.668)</f>
        <v>358.12605506360967</v>
      </c>
      <c r="L6" s="255">
        <v>0.6</v>
      </c>
      <c r="M6" s="256">
        <f t="shared" si="1"/>
        <v>42.97512660763316</v>
      </c>
      <c r="N6" s="257">
        <v>400</v>
      </c>
      <c r="O6" s="258">
        <v>0.4</v>
      </c>
      <c r="P6" s="18">
        <v>1</v>
      </c>
      <c r="Q6" s="11">
        <f t="shared" si="2"/>
        <v>0</v>
      </c>
      <c r="R6" s="11">
        <f t="shared" si="3"/>
        <v>0</v>
      </c>
      <c r="S6" s="259">
        <f t="shared" si="4"/>
        <v>0</v>
      </c>
      <c r="T6" s="259">
        <f t="shared" si="5"/>
        <v>0.12566360000000001</v>
      </c>
      <c r="U6" s="260">
        <f t="shared" si="6"/>
        <v>0.12566360000000001</v>
      </c>
      <c r="V6" s="11">
        <f t="shared" si="7"/>
        <v>1.256636</v>
      </c>
      <c r="W6" s="261">
        <f t="shared" si="8"/>
        <v>0.1</v>
      </c>
      <c r="X6" s="18">
        <v>0.014</v>
      </c>
      <c r="Y6" s="18">
        <v>0.008</v>
      </c>
      <c r="Z6" s="262">
        <f t="shared" si="9"/>
        <v>1.3764178342842808</v>
      </c>
      <c r="AA6" s="263">
        <f t="shared" si="10"/>
        <v>0.17296562016036615</v>
      </c>
      <c r="AB6" s="264">
        <f t="shared" si="11"/>
        <v>622.6762325773182</v>
      </c>
      <c r="AC6" s="265">
        <f t="shared" si="12"/>
        <v>172.96562016036614</v>
      </c>
    </row>
    <row r="7" spans="1:29" s="3" customFormat="1" ht="19.5" customHeight="1">
      <c r="A7" s="412"/>
      <c r="B7" s="253" t="s">
        <v>34</v>
      </c>
      <c r="C7" s="253">
        <v>1000</v>
      </c>
      <c r="D7" s="253">
        <f aca="true" t="shared" si="13" ref="D7:D22">D6+C7</f>
        <v>3000</v>
      </c>
      <c r="E7" s="253">
        <v>10</v>
      </c>
      <c r="F7" s="253">
        <v>2</v>
      </c>
      <c r="G7" s="253">
        <v>30</v>
      </c>
      <c r="H7" s="253">
        <f aca="true" t="shared" si="14" ref="H7:H22">G6/Z6/60+H6</f>
        <v>0.803322099391667</v>
      </c>
      <c r="I7" s="254">
        <f t="shared" si="0"/>
        <v>11.606644198783334</v>
      </c>
      <c r="J7" s="254">
        <v>2</v>
      </c>
      <c r="K7" s="11">
        <f aca="true" t="shared" si="15" ref="K7:K22">2424.17*(1+0.533*LOG10(J7))/POWER(I7+11,0.668)</f>
        <v>350.39621979301734</v>
      </c>
      <c r="L7" s="255">
        <v>0.6</v>
      </c>
      <c r="M7" s="256">
        <f t="shared" si="1"/>
        <v>63.07131956274311</v>
      </c>
      <c r="N7" s="257">
        <v>500</v>
      </c>
      <c r="O7" s="258">
        <v>0.5</v>
      </c>
      <c r="P7" s="18">
        <v>1</v>
      </c>
      <c r="Q7" s="11">
        <f t="shared" si="2"/>
        <v>0</v>
      </c>
      <c r="R7" s="11">
        <f t="shared" si="3"/>
        <v>0</v>
      </c>
      <c r="S7" s="259">
        <f t="shared" si="4"/>
        <v>0</v>
      </c>
      <c r="T7" s="259">
        <f t="shared" si="5"/>
        <v>0.196349375</v>
      </c>
      <c r="U7" s="260">
        <f t="shared" si="6"/>
        <v>0.196349375</v>
      </c>
      <c r="V7" s="11">
        <f t="shared" si="7"/>
        <v>1.570795</v>
      </c>
      <c r="W7" s="261">
        <f t="shared" si="8"/>
        <v>0.125</v>
      </c>
      <c r="X7" s="18">
        <v>0.014</v>
      </c>
      <c r="Y7" s="18">
        <v>0.008</v>
      </c>
      <c r="Z7" s="262">
        <f t="shared" si="9"/>
        <v>1.59719141249985</v>
      </c>
      <c r="AA7" s="263">
        <f t="shared" si="10"/>
        <v>0.3136075355997127</v>
      </c>
      <c r="AB7" s="264">
        <f t="shared" si="11"/>
        <v>1128.9871281589658</v>
      </c>
      <c r="AC7" s="265">
        <f t="shared" si="12"/>
        <v>313.6075355997127</v>
      </c>
    </row>
    <row r="8" spans="1:29" s="3" customFormat="1" ht="19.5" customHeight="1">
      <c r="A8" s="412"/>
      <c r="B8" s="253" t="s">
        <v>575</v>
      </c>
      <c r="C8" s="253">
        <v>1000</v>
      </c>
      <c r="D8" s="253">
        <f t="shared" si="13"/>
        <v>4000</v>
      </c>
      <c r="E8" s="253">
        <v>10</v>
      </c>
      <c r="F8" s="253">
        <v>2</v>
      </c>
      <c r="G8" s="253">
        <v>30</v>
      </c>
      <c r="H8" s="253">
        <f t="shared" si="14"/>
        <v>1.1163716162416375</v>
      </c>
      <c r="I8" s="254">
        <f t="shared" si="0"/>
        <v>12.232743232483275</v>
      </c>
      <c r="J8" s="254">
        <v>2</v>
      </c>
      <c r="K8" s="11">
        <f t="shared" si="15"/>
        <v>344.05985129484935</v>
      </c>
      <c r="L8" s="255">
        <v>0.6</v>
      </c>
      <c r="M8" s="256">
        <f t="shared" si="1"/>
        <v>82.57436431076384</v>
      </c>
      <c r="N8" s="257">
        <v>600</v>
      </c>
      <c r="O8" s="258">
        <v>0.6</v>
      </c>
      <c r="P8" s="18">
        <v>1</v>
      </c>
      <c r="Q8" s="11">
        <f t="shared" si="2"/>
        <v>0</v>
      </c>
      <c r="R8" s="11">
        <f t="shared" si="3"/>
        <v>0</v>
      </c>
      <c r="S8" s="259">
        <f t="shared" si="4"/>
        <v>0</v>
      </c>
      <c r="T8" s="259">
        <f t="shared" si="5"/>
        <v>0.28274309999999997</v>
      </c>
      <c r="U8" s="260">
        <f t="shared" si="6"/>
        <v>0.28274309999999997</v>
      </c>
      <c r="V8" s="11">
        <f t="shared" si="7"/>
        <v>1.8849539999999998</v>
      </c>
      <c r="W8" s="261">
        <f t="shared" si="8"/>
        <v>0.15</v>
      </c>
      <c r="X8" s="18">
        <v>0.014</v>
      </c>
      <c r="Y8" s="18">
        <v>0.008</v>
      </c>
      <c r="Z8" s="262">
        <f t="shared" si="9"/>
        <v>1.8036175970180874</v>
      </c>
      <c r="AA8" s="263">
        <f t="shared" si="10"/>
        <v>0.5099604305954447</v>
      </c>
      <c r="AB8" s="264">
        <f t="shared" si="11"/>
        <v>1835.857550143601</v>
      </c>
      <c r="AC8" s="265">
        <f t="shared" si="12"/>
        <v>509.9604305954447</v>
      </c>
    </row>
    <row r="9" spans="1:29" s="3" customFormat="1" ht="19.5" customHeight="1">
      <c r="A9" s="412"/>
      <c r="B9" s="253" t="s">
        <v>576</v>
      </c>
      <c r="C9" s="253">
        <v>1000</v>
      </c>
      <c r="D9" s="253">
        <f t="shared" si="13"/>
        <v>5000</v>
      </c>
      <c r="E9" s="253">
        <v>10</v>
      </c>
      <c r="F9" s="253">
        <v>2</v>
      </c>
      <c r="G9" s="253">
        <v>30</v>
      </c>
      <c r="H9" s="253">
        <f t="shared" si="14"/>
        <v>1.3935922426242187</v>
      </c>
      <c r="I9" s="254">
        <f t="shared" si="0"/>
        <v>12.787184485248437</v>
      </c>
      <c r="J9" s="254">
        <v>2</v>
      </c>
      <c r="K9" s="11">
        <f t="shared" si="15"/>
        <v>338.6818903466531</v>
      </c>
      <c r="L9" s="255">
        <v>0.6</v>
      </c>
      <c r="M9" s="256">
        <f t="shared" si="1"/>
        <v>101.60456710399593</v>
      </c>
      <c r="N9" s="257">
        <v>700</v>
      </c>
      <c r="O9" s="258">
        <v>0.7</v>
      </c>
      <c r="P9" s="18">
        <v>1</v>
      </c>
      <c r="Q9" s="11">
        <f t="shared" si="2"/>
        <v>0</v>
      </c>
      <c r="R9" s="11">
        <f t="shared" si="3"/>
        <v>0</v>
      </c>
      <c r="S9" s="259">
        <f t="shared" si="4"/>
        <v>0</v>
      </c>
      <c r="T9" s="259">
        <f t="shared" si="5"/>
        <v>0.3848447749999999</v>
      </c>
      <c r="U9" s="260">
        <f t="shared" si="6"/>
        <v>0.3848447749999999</v>
      </c>
      <c r="V9" s="11">
        <f t="shared" si="7"/>
        <v>2.1991129999999997</v>
      </c>
      <c r="W9" s="261">
        <f t="shared" si="8"/>
        <v>0.175</v>
      </c>
      <c r="X9" s="18">
        <v>0.014</v>
      </c>
      <c r="Y9" s="18">
        <v>0.008</v>
      </c>
      <c r="Z9" s="262">
        <f t="shared" si="9"/>
        <v>1.9988290698032947</v>
      </c>
      <c r="AA9" s="263">
        <f t="shared" si="10"/>
        <v>0.769238923631908</v>
      </c>
      <c r="AB9" s="264">
        <f t="shared" si="11"/>
        <v>2769.260125074869</v>
      </c>
      <c r="AC9" s="265">
        <f t="shared" si="12"/>
        <v>769.238923631908</v>
      </c>
    </row>
    <row r="10" spans="1:29" s="3" customFormat="1" ht="19.5" customHeight="1">
      <c r="A10" s="412"/>
      <c r="B10" s="253" t="s">
        <v>577</v>
      </c>
      <c r="C10" s="253">
        <v>1000</v>
      </c>
      <c r="D10" s="253">
        <f t="shared" si="13"/>
        <v>6000</v>
      </c>
      <c r="E10" s="253">
        <v>10</v>
      </c>
      <c r="F10" s="253">
        <v>2</v>
      </c>
      <c r="G10" s="253">
        <v>30</v>
      </c>
      <c r="H10" s="253">
        <f t="shared" si="14"/>
        <v>1.6437386946413515</v>
      </c>
      <c r="I10" s="254">
        <f t="shared" si="0"/>
        <v>13.287477389282703</v>
      </c>
      <c r="J10" s="254">
        <v>2</v>
      </c>
      <c r="K10" s="11">
        <f t="shared" si="15"/>
        <v>334.0055451173369</v>
      </c>
      <c r="L10" s="255">
        <v>0.6</v>
      </c>
      <c r="M10" s="256">
        <f t="shared" si="1"/>
        <v>120.24199624224129</v>
      </c>
      <c r="N10" s="257">
        <v>800</v>
      </c>
      <c r="O10" s="258">
        <v>0.8</v>
      </c>
      <c r="P10" s="18">
        <v>1</v>
      </c>
      <c r="Q10" s="11">
        <f t="shared" si="2"/>
        <v>0</v>
      </c>
      <c r="R10" s="11">
        <f t="shared" si="3"/>
        <v>0</v>
      </c>
      <c r="S10" s="259">
        <f t="shared" si="4"/>
        <v>0</v>
      </c>
      <c r="T10" s="259">
        <f t="shared" si="5"/>
        <v>0.5026544000000001</v>
      </c>
      <c r="U10" s="260">
        <f t="shared" si="6"/>
        <v>0.5026544000000001</v>
      </c>
      <c r="V10" s="11">
        <f t="shared" si="7"/>
        <v>2.513272</v>
      </c>
      <c r="W10" s="261">
        <f t="shared" si="8"/>
        <v>0.2</v>
      </c>
      <c r="X10" s="18">
        <v>0.014</v>
      </c>
      <c r="Y10" s="18">
        <v>0.008</v>
      </c>
      <c r="Z10" s="262">
        <f t="shared" si="9"/>
        <v>2.1849271180906578</v>
      </c>
      <c r="AA10" s="263">
        <f t="shared" si="10"/>
        <v>1.098263229587589</v>
      </c>
      <c r="AB10" s="264">
        <f t="shared" si="11"/>
        <v>3953.74762651532</v>
      </c>
      <c r="AC10" s="265">
        <f t="shared" si="12"/>
        <v>1098.263229587589</v>
      </c>
    </row>
    <row r="11" spans="1:29" s="3" customFormat="1" ht="19.5" customHeight="1">
      <c r="A11" s="412"/>
      <c r="B11" s="253" t="s">
        <v>578</v>
      </c>
      <c r="C11" s="253">
        <v>1000</v>
      </c>
      <c r="D11" s="253">
        <f t="shared" si="13"/>
        <v>7000</v>
      </c>
      <c r="E11" s="253">
        <v>10</v>
      </c>
      <c r="F11" s="253">
        <v>2</v>
      </c>
      <c r="G11" s="253">
        <v>30</v>
      </c>
      <c r="H11" s="253">
        <f t="shared" si="14"/>
        <v>1.8725792796934217</v>
      </c>
      <c r="I11" s="254">
        <f t="shared" si="0"/>
        <v>13.745158559386844</v>
      </c>
      <c r="J11" s="254">
        <v>2</v>
      </c>
      <c r="K11" s="11">
        <f t="shared" si="15"/>
        <v>329.8660692884067</v>
      </c>
      <c r="L11" s="255">
        <v>0.6</v>
      </c>
      <c r="M11" s="256">
        <f t="shared" si="1"/>
        <v>138.54374910113083</v>
      </c>
      <c r="N11" s="257">
        <v>900</v>
      </c>
      <c r="O11" s="258">
        <v>0.9</v>
      </c>
      <c r="P11" s="18">
        <v>1</v>
      </c>
      <c r="Q11" s="11">
        <f t="shared" si="2"/>
        <v>0</v>
      </c>
      <c r="R11" s="11">
        <f t="shared" si="3"/>
        <v>0</v>
      </c>
      <c r="S11" s="259">
        <f t="shared" si="4"/>
        <v>0</v>
      </c>
      <c r="T11" s="259">
        <f t="shared" si="5"/>
        <v>0.636171975</v>
      </c>
      <c r="U11" s="260">
        <f t="shared" si="6"/>
        <v>0.636171975</v>
      </c>
      <c r="V11" s="11">
        <f t="shared" si="7"/>
        <v>2.827431</v>
      </c>
      <c r="W11" s="261">
        <f t="shared" si="8"/>
        <v>0.225</v>
      </c>
      <c r="X11" s="18">
        <v>0.014</v>
      </c>
      <c r="Y11" s="18">
        <v>0.008</v>
      </c>
      <c r="Z11" s="262">
        <f t="shared" si="9"/>
        <v>2.363407647914441</v>
      </c>
      <c r="AA11" s="263">
        <f t="shared" si="10"/>
        <v>1.5035337111038345</v>
      </c>
      <c r="AB11" s="264">
        <f t="shared" si="11"/>
        <v>5412.721359973804</v>
      </c>
      <c r="AC11" s="265">
        <f t="shared" si="12"/>
        <v>1503.5337111038345</v>
      </c>
    </row>
    <row r="12" spans="1:29" s="3" customFormat="1" ht="19.5" customHeight="1">
      <c r="A12" s="412"/>
      <c r="B12" s="253" t="s">
        <v>579</v>
      </c>
      <c r="C12" s="253">
        <v>1000</v>
      </c>
      <c r="D12" s="253">
        <f t="shared" si="13"/>
        <v>8000</v>
      </c>
      <c r="E12" s="253">
        <v>10</v>
      </c>
      <c r="F12" s="253">
        <v>2</v>
      </c>
      <c r="G12" s="253">
        <v>30</v>
      </c>
      <c r="H12" s="253">
        <f t="shared" si="14"/>
        <v>2.0841382125932193</v>
      </c>
      <c r="I12" s="254">
        <f t="shared" si="0"/>
        <v>14.168276425186438</v>
      </c>
      <c r="J12" s="254">
        <v>2</v>
      </c>
      <c r="K12" s="11">
        <f t="shared" si="15"/>
        <v>326.151218175004</v>
      </c>
      <c r="L12" s="255">
        <v>0.6</v>
      </c>
      <c r="M12" s="256">
        <f t="shared" si="1"/>
        <v>156.5525847240019</v>
      </c>
      <c r="N12" s="257">
        <v>1000</v>
      </c>
      <c r="O12" s="258">
        <v>1</v>
      </c>
      <c r="P12" s="18">
        <v>1</v>
      </c>
      <c r="Q12" s="11">
        <f t="shared" si="2"/>
        <v>0</v>
      </c>
      <c r="R12" s="11">
        <f t="shared" si="3"/>
        <v>0</v>
      </c>
      <c r="S12" s="259">
        <f t="shared" si="4"/>
        <v>0</v>
      </c>
      <c r="T12" s="259">
        <f t="shared" si="5"/>
        <v>0.7853975</v>
      </c>
      <c r="U12" s="260">
        <f t="shared" si="6"/>
        <v>0.7853975</v>
      </c>
      <c r="V12" s="11">
        <f t="shared" si="7"/>
        <v>3.14159</v>
      </c>
      <c r="W12" s="261">
        <f t="shared" si="8"/>
        <v>0.25</v>
      </c>
      <c r="X12" s="18">
        <v>0.014</v>
      </c>
      <c r="Y12" s="18">
        <v>0.008</v>
      </c>
      <c r="Z12" s="262">
        <f t="shared" si="9"/>
        <v>2.5353833283968363</v>
      </c>
      <c r="AA12" s="263">
        <f t="shared" si="10"/>
        <v>1.991283727664554</v>
      </c>
      <c r="AB12" s="264">
        <f t="shared" si="11"/>
        <v>7168.621419592395</v>
      </c>
      <c r="AC12" s="265">
        <f t="shared" si="12"/>
        <v>1991.2837276645541</v>
      </c>
    </row>
    <row r="13" spans="1:29" s="3" customFormat="1" ht="19.5" customHeight="1">
      <c r="A13" s="412"/>
      <c r="B13" s="253" t="s">
        <v>580</v>
      </c>
      <c r="C13" s="253">
        <v>1000</v>
      </c>
      <c r="D13" s="253">
        <f t="shared" si="13"/>
        <v>9000</v>
      </c>
      <c r="E13" s="253">
        <v>10</v>
      </c>
      <c r="F13" s="253">
        <v>2</v>
      </c>
      <c r="G13" s="253">
        <v>30</v>
      </c>
      <c r="H13" s="253">
        <f t="shared" si="14"/>
        <v>2.281347050562568</v>
      </c>
      <c r="I13" s="254">
        <f t="shared" si="0"/>
        <v>14.562694101125135</v>
      </c>
      <c r="J13" s="254">
        <v>2</v>
      </c>
      <c r="K13" s="11">
        <f t="shared" si="15"/>
        <v>322.7809550109706</v>
      </c>
      <c r="L13" s="255">
        <v>0.6</v>
      </c>
      <c r="M13" s="256">
        <f t="shared" si="1"/>
        <v>174.30171570592412</v>
      </c>
      <c r="N13" s="257">
        <v>1100</v>
      </c>
      <c r="O13" s="258">
        <v>1.1</v>
      </c>
      <c r="P13" s="18">
        <v>1</v>
      </c>
      <c r="Q13" s="11">
        <f t="shared" si="2"/>
        <v>0</v>
      </c>
      <c r="R13" s="11">
        <f t="shared" si="3"/>
        <v>0</v>
      </c>
      <c r="S13" s="259">
        <f t="shared" si="4"/>
        <v>0</v>
      </c>
      <c r="T13" s="259">
        <f t="shared" si="5"/>
        <v>0.9503309750000001</v>
      </c>
      <c r="U13" s="260">
        <f t="shared" si="6"/>
        <v>0.9503309750000001</v>
      </c>
      <c r="V13" s="11">
        <f t="shared" si="7"/>
        <v>3.455749</v>
      </c>
      <c r="W13" s="261">
        <f t="shared" si="8"/>
        <v>0.275</v>
      </c>
      <c r="X13" s="18">
        <v>0.014</v>
      </c>
      <c r="Y13" s="18">
        <v>0.008</v>
      </c>
      <c r="Z13" s="262">
        <f t="shared" si="9"/>
        <v>2.701710145800443</v>
      </c>
      <c r="AA13" s="263">
        <f t="shared" si="10"/>
        <v>2.5675188370259274</v>
      </c>
      <c r="AB13" s="264">
        <f t="shared" si="11"/>
        <v>9243.067813293339</v>
      </c>
      <c r="AC13" s="265">
        <f t="shared" si="12"/>
        <v>2567.5188370259275</v>
      </c>
    </row>
    <row r="14" spans="1:29" s="3" customFormat="1" ht="19.5" customHeight="1">
      <c r="A14" s="412"/>
      <c r="B14" s="253" t="s">
        <v>581</v>
      </c>
      <c r="C14" s="253">
        <v>1000</v>
      </c>
      <c r="D14" s="253">
        <f t="shared" si="13"/>
        <v>10000</v>
      </c>
      <c r="E14" s="253">
        <v>10</v>
      </c>
      <c r="F14" s="253">
        <v>2</v>
      </c>
      <c r="G14" s="253">
        <v>30</v>
      </c>
      <c r="H14" s="253">
        <f t="shared" si="14"/>
        <v>2.466415016042582</v>
      </c>
      <c r="I14" s="254">
        <f t="shared" si="0"/>
        <v>14.932830032085164</v>
      </c>
      <c r="J14" s="254">
        <v>2</v>
      </c>
      <c r="K14" s="11">
        <f t="shared" si="15"/>
        <v>319.6961336986744</v>
      </c>
      <c r="L14" s="255">
        <v>0.6</v>
      </c>
      <c r="M14" s="256">
        <f t="shared" si="1"/>
        <v>191.81768021920462</v>
      </c>
      <c r="N14" s="257">
        <v>1200</v>
      </c>
      <c r="O14" s="258">
        <v>1.2</v>
      </c>
      <c r="P14" s="18">
        <v>1</v>
      </c>
      <c r="Q14" s="11">
        <f t="shared" si="2"/>
        <v>0</v>
      </c>
      <c r="R14" s="11">
        <f t="shared" si="3"/>
        <v>0</v>
      </c>
      <c r="S14" s="259">
        <f t="shared" si="4"/>
        <v>0</v>
      </c>
      <c r="T14" s="259">
        <f t="shared" si="5"/>
        <v>1.1309723999999999</v>
      </c>
      <c r="U14" s="260">
        <f t="shared" si="6"/>
        <v>1.1309723999999999</v>
      </c>
      <c r="V14" s="11">
        <f t="shared" si="7"/>
        <v>3.7699079999999996</v>
      </c>
      <c r="W14" s="261">
        <f t="shared" si="8"/>
        <v>0.3</v>
      </c>
      <c r="X14" s="18">
        <v>0.014</v>
      </c>
      <c r="Y14" s="18">
        <v>0.008</v>
      </c>
      <c r="Z14" s="262">
        <f t="shared" si="9"/>
        <v>2.8630644708548676</v>
      </c>
      <c r="AA14" s="263">
        <f t="shared" si="10"/>
        <v>3.238046895957459</v>
      </c>
      <c r="AB14" s="264">
        <f t="shared" si="11"/>
        <v>11656.968825446853</v>
      </c>
      <c r="AC14" s="265">
        <f t="shared" si="12"/>
        <v>3238.046895957459</v>
      </c>
    </row>
    <row r="15" spans="1:29" s="3" customFormat="1" ht="19.5" customHeight="1">
      <c r="A15" s="412"/>
      <c r="B15" s="253" t="s">
        <v>582</v>
      </c>
      <c r="C15" s="253">
        <v>1000</v>
      </c>
      <c r="D15" s="253">
        <f t="shared" si="13"/>
        <v>11000</v>
      </c>
      <c r="E15" s="253">
        <v>10</v>
      </c>
      <c r="F15" s="253">
        <v>2</v>
      </c>
      <c r="G15" s="253">
        <v>30</v>
      </c>
      <c r="H15" s="253">
        <f t="shared" si="14"/>
        <v>2.64105306736481</v>
      </c>
      <c r="I15" s="254">
        <f t="shared" si="0"/>
        <v>15.28210613472962</v>
      </c>
      <c r="J15" s="254">
        <v>2</v>
      </c>
      <c r="K15" s="11">
        <f t="shared" si="15"/>
        <v>316.8517691161923</v>
      </c>
      <c r="L15" s="255">
        <v>0.6</v>
      </c>
      <c r="M15" s="256">
        <f t="shared" si="1"/>
        <v>209.12216761668694</v>
      </c>
      <c r="N15" s="257">
        <v>1300</v>
      </c>
      <c r="O15" s="258">
        <v>1.3</v>
      </c>
      <c r="P15" s="18">
        <v>1</v>
      </c>
      <c r="Q15" s="11">
        <f t="shared" si="2"/>
        <v>0</v>
      </c>
      <c r="R15" s="11">
        <f t="shared" si="3"/>
        <v>0</v>
      </c>
      <c r="S15" s="259">
        <f t="shared" si="4"/>
        <v>0</v>
      </c>
      <c r="T15" s="259">
        <f t="shared" si="5"/>
        <v>1.3273217750000001</v>
      </c>
      <c r="U15" s="260">
        <f t="shared" si="6"/>
        <v>1.3273217750000001</v>
      </c>
      <c r="V15" s="11">
        <f t="shared" si="7"/>
        <v>4.084067</v>
      </c>
      <c r="W15" s="261">
        <f t="shared" si="8"/>
        <v>0.325</v>
      </c>
      <c r="X15" s="18">
        <v>0.014</v>
      </c>
      <c r="Y15" s="18">
        <v>0.008</v>
      </c>
      <c r="Z15" s="262">
        <f t="shared" si="9"/>
        <v>3.019992505055898</v>
      </c>
      <c r="AA15" s="263">
        <f t="shared" si="10"/>
        <v>4.008501812297491</v>
      </c>
      <c r="AB15" s="264">
        <f t="shared" si="11"/>
        <v>14430.606524270968</v>
      </c>
      <c r="AC15" s="265">
        <f t="shared" si="12"/>
        <v>4008.501812297491</v>
      </c>
    </row>
    <row r="16" spans="1:29" s="3" customFormat="1" ht="19.5" customHeight="1">
      <c r="A16" s="412"/>
      <c r="B16" s="253" t="s">
        <v>583</v>
      </c>
      <c r="C16" s="253">
        <v>1000</v>
      </c>
      <c r="D16" s="253">
        <f t="shared" si="13"/>
        <v>12000</v>
      </c>
      <c r="E16" s="253">
        <v>10</v>
      </c>
      <c r="F16" s="253">
        <v>2</v>
      </c>
      <c r="G16" s="253">
        <v>30</v>
      </c>
      <c r="H16" s="253">
        <f t="shared" si="14"/>
        <v>2.806616392162116</v>
      </c>
      <c r="I16" s="254">
        <f t="shared" si="0"/>
        <v>15.613232784324232</v>
      </c>
      <c r="J16" s="254">
        <v>2</v>
      </c>
      <c r="K16" s="11">
        <f t="shared" si="15"/>
        <v>314.21282526539824</v>
      </c>
      <c r="L16" s="255">
        <v>0.6</v>
      </c>
      <c r="M16" s="256">
        <f t="shared" si="1"/>
        <v>226.2332341910867</v>
      </c>
      <c r="N16" s="257">
        <v>1400</v>
      </c>
      <c r="O16" s="258">
        <v>1.4</v>
      </c>
      <c r="P16" s="18">
        <v>1</v>
      </c>
      <c r="Q16" s="11">
        <f t="shared" si="2"/>
        <v>0</v>
      </c>
      <c r="R16" s="11">
        <f t="shared" si="3"/>
        <v>0</v>
      </c>
      <c r="S16" s="259">
        <f t="shared" si="4"/>
        <v>0</v>
      </c>
      <c r="T16" s="259">
        <f t="shared" si="5"/>
        <v>1.5393790999999997</v>
      </c>
      <c r="U16" s="260">
        <f t="shared" si="6"/>
        <v>1.5393790999999997</v>
      </c>
      <c r="V16" s="11">
        <f t="shared" si="7"/>
        <v>4.398225999999999</v>
      </c>
      <c r="W16" s="261">
        <f t="shared" si="8"/>
        <v>0.35</v>
      </c>
      <c r="X16" s="18">
        <v>0.014</v>
      </c>
      <c r="Y16" s="18">
        <v>0.008</v>
      </c>
      <c r="Z16" s="262">
        <f t="shared" si="9"/>
        <v>3.172943368110367</v>
      </c>
      <c r="AA16" s="263">
        <f t="shared" si="10"/>
        <v>4.884362706352705</v>
      </c>
      <c r="AB16" s="264">
        <f t="shared" si="11"/>
        <v>17583.705742869737</v>
      </c>
      <c r="AC16" s="265">
        <f t="shared" si="12"/>
        <v>4884.362706352705</v>
      </c>
    </row>
    <row r="17" spans="1:29" s="3" customFormat="1" ht="19.5" customHeight="1">
      <c r="A17" s="412"/>
      <c r="B17" s="253" t="s">
        <v>584</v>
      </c>
      <c r="C17" s="253">
        <v>1000</v>
      </c>
      <c r="D17" s="253">
        <f t="shared" si="13"/>
        <v>13000</v>
      </c>
      <c r="E17" s="253">
        <v>10</v>
      </c>
      <c r="F17" s="253">
        <v>2</v>
      </c>
      <c r="G17" s="253">
        <v>30</v>
      </c>
      <c r="H17" s="253">
        <f t="shared" si="14"/>
        <v>2.964198782388568</v>
      </c>
      <c r="I17" s="254">
        <f t="shared" si="0"/>
        <v>15.928397564777136</v>
      </c>
      <c r="J17" s="254">
        <v>2</v>
      </c>
      <c r="K17" s="11">
        <f t="shared" si="15"/>
        <v>311.75146668641395</v>
      </c>
      <c r="L17" s="255">
        <v>0.6</v>
      </c>
      <c r="M17" s="256">
        <f t="shared" si="1"/>
        <v>243.16614401540286</v>
      </c>
      <c r="N17" s="257">
        <v>1500</v>
      </c>
      <c r="O17" s="258">
        <v>1.5</v>
      </c>
      <c r="P17" s="18">
        <v>1</v>
      </c>
      <c r="Q17" s="11">
        <f t="shared" si="2"/>
        <v>0</v>
      </c>
      <c r="R17" s="11">
        <f t="shared" si="3"/>
        <v>0</v>
      </c>
      <c r="S17" s="259">
        <f t="shared" si="4"/>
        <v>0</v>
      </c>
      <c r="T17" s="259">
        <f t="shared" si="5"/>
        <v>1.767144375</v>
      </c>
      <c r="U17" s="260">
        <f t="shared" si="6"/>
        <v>1.767144375</v>
      </c>
      <c r="V17" s="11">
        <f t="shared" si="7"/>
        <v>4.712384999999999</v>
      </c>
      <c r="W17" s="261">
        <f t="shared" si="8"/>
        <v>0.37500000000000006</v>
      </c>
      <c r="X17" s="18">
        <v>0.014</v>
      </c>
      <c r="Y17" s="18">
        <v>0.008</v>
      </c>
      <c r="Z17" s="262">
        <f t="shared" si="9"/>
        <v>3.3222920194583594</v>
      </c>
      <c r="AA17" s="263">
        <f t="shared" si="10"/>
        <v>5.87096965429323</v>
      </c>
      <c r="AB17" s="264">
        <f t="shared" si="11"/>
        <v>21135.490755455627</v>
      </c>
      <c r="AC17" s="265">
        <f t="shared" si="12"/>
        <v>5870.96965429323</v>
      </c>
    </row>
    <row r="18" spans="1:29" s="3" customFormat="1" ht="19.5" customHeight="1">
      <c r="A18" s="412"/>
      <c r="B18" s="253" t="s">
        <v>585</v>
      </c>
      <c r="C18" s="253">
        <v>1000</v>
      </c>
      <c r="D18" s="253">
        <f t="shared" si="13"/>
        <v>14000</v>
      </c>
      <c r="E18" s="253">
        <v>10</v>
      </c>
      <c r="F18" s="253">
        <v>2</v>
      </c>
      <c r="G18" s="253">
        <v>30</v>
      </c>
      <c r="H18" s="253">
        <f t="shared" si="14"/>
        <v>3.1146972927758383</v>
      </c>
      <c r="I18" s="254">
        <f t="shared" si="0"/>
        <v>16.229394585551677</v>
      </c>
      <c r="J18" s="254">
        <v>2</v>
      </c>
      <c r="K18" s="11">
        <f t="shared" si="15"/>
        <v>309.4452011874396</v>
      </c>
      <c r="L18" s="255">
        <v>0.6</v>
      </c>
      <c r="M18" s="256">
        <f t="shared" si="1"/>
        <v>259.93396899744926</v>
      </c>
      <c r="N18" s="257">
        <v>1600</v>
      </c>
      <c r="O18" s="258">
        <v>1.6</v>
      </c>
      <c r="P18" s="18">
        <v>1</v>
      </c>
      <c r="Q18" s="11">
        <f t="shared" si="2"/>
        <v>0</v>
      </c>
      <c r="R18" s="11">
        <f t="shared" si="3"/>
        <v>0</v>
      </c>
      <c r="S18" s="259">
        <f t="shared" si="4"/>
        <v>0</v>
      </c>
      <c r="T18" s="259">
        <f t="shared" si="5"/>
        <v>2.0106176000000002</v>
      </c>
      <c r="U18" s="260">
        <f t="shared" si="6"/>
        <v>2.0106176000000002</v>
      </c>
      <c r="V18" s="11">
        <f t="shared" si="7"/>
        <v>5.026544</v>
      </c>
      <c r="W18" s="261">
        <f t="shared" si="8"/>
        <v>0.4</v>
      </c>
      <c r="X18" s="18">
        <v>0.014</v>
      </c>
      <c r="Y18" s="18">
        <v>0.008</v>
      </c>
      <c r="Z18" s="262">
        <f t="shared" si="9"/>
        <v>3.468355605730956</v>
      </c>
      <c r="AA18" s="263">
        <f t="shared" si="10"/>
        <v>6.973536823941322</v>
      </c>
      <c r="AB18" s="264">
        <f t="shared" si="11"/>
        <v>25104.73256618876</v>
      </c>
      <c r="AC18" s="265">
        <f t="shared" si="12"/>
        <v>6973.536823941322</v>
      </c>
    </row>
    <row r="19" spans="1:29" s="3" customFormat="1" ht="19.5" customHeight="1">
      <c r="A19" s="412"/>
      <c r="B19" s="253" t="s">
        <v>586</v>
      </c>
      <c r="C19" s="253">
        <v>1000</v>
      </c>
      <c r="D19" s="253">
        <f t="shared" si="13"/>
        <v>15000</v>
      </c>
      <c r="E19" s="253">
        <v>10</v>
      </c>
      <c r="F19" s="253">
        <v>2</v>
      </c>
      <c r="G19" s="253">
        <v>30</v>
      </c>
      <c r="H19" s="253">
        <f t="shared" si="14"/>
        <v>3.258857827864519</v>
      </c>
      <c r="I19" s="254">
        <f t="shared" si="0"/>
        <v>16.517715655729038</v>
      </c>
      <c r="J19" s="254">
        <v>2</v>
      </c>
      <c r="K19" s="11">
        <f t="shared" si="15"/>
        <v>307.27558728666713</v>
      </c>
      <c r="L19" s="255">
        <v>0.6</v>
      </c>
      <c r="M19" s="256">
        <f t="shared" si="1"/>
        <v>276.5480285580004</v>
      </c>
      <c r="N19" s="257">
        <v>1700</v>
      </c>
      <c r="O19" s="258">
        <v>1.7</v>
      </c>
      <c r="P19" s="18">
        <v>1</v>
      </c>
      <c r="Q19" s="11">
        <f t="shared" si="2"/>
        <v>0</v>
      </c>
      <c r="R19" s="11">
        <f t="shared" si="3"/>
        <v>0</v>
      </c>
      <c r="S19" s="259">
        <f t="shared" si="4"/>
        <v>0</v>
      </c>
      <c r="T19" s="259">
        <f t="shared" si="5"/>
        <v>2.269798775</v>
      </c>
      <c r="U19" s="260">
        <f t="shared" si="6"/>
        <v>2.269798775</v>
      </c>
      <c r="V19" s="11">
        <f t="shared" si="7"/>
        <v>5.3407029999999995</v>
      </c>
      <c r="W19" s="261">
        <f t="shared" si="8"/>
        <v>0.42500000000000004</v>
      </c>
      <c r="X19" s="18">
        <v>0.014</v>
      </c>
      <c r="Y19" s="18">
        <v>0.008</v>
      </c>
      <c r="Z19" s="262">
        <f t="shared" si="9"/>
        <v>3.6114054118468375</v>
      </c>
      <c r="AA19" s="263">
        <f t="shared" si="10"/>
        <v>8.197163579838323</v>
      </c>
      <c r="AB19" s="264">
        <f t="shared" si="11"/>
        <v>29509.788887417963</v>
      </c>
      <c r="AC19" s="265">
        <f t="shared" si="12"/>
        <v>8197.163579838323</v>
      </c>
    </row>
    <row r="20" spans="1:29" s="3" customFormat="1" ht="19.5" customHeight="1">
      <c r="A20" s="412"/>
      <c r="B20" s="253" t="s">
        <v>587</v>
      </c>
      <c r="C20" s="253">
        <v>1000</v>
      </c>
      <c r="D20" s="253">
        <f t="shared" si="13"/>
        <v>16000</v>
      </c>
      <c r="E20" s="253">
        <v>10</v>
      </c>
      <c r="F20" s="253">
        <v>2</v>
      </c>
      <c r="G20" s="253">
        <v>30</v>
      </c>
      <c r="H20" s="253">
        <f t="shared" si="14"/>
        <v>3.3973080828150715</v>
      </c>
      <c r="I20" s="254">
        <f t="shared" si="0"/>
        <v>16.794616165630142</v>
      </c>
      <c r="J20" s="254">
        <v>2</v>
      </c>
      <c r="K20" s="11">
        <f t="shared" si="15"/>
        <v>305.2273116088722</v>
      </c>
      <c r="L20" s="255">
        <v>0.6</v>
      </c>
      <c r="M20" s="256">
        <f t="shared" si="1"/>
        <v>293.0182191445173</v>
      </c>
      <c r="N20" s="257">
        <v>1800</v>
      </c>
      <c r="O20" s="258">
        <v>1.8</v>
      </c>
      <c r="P20" s="18">
        <v>1</v>
      </c>
      <c r="Q20" s="11">
        <f t="shared" si="2"/>
        <v>0</v>
      </c>
      <c r="R20" s="11">
        <f t="shared" si="3"/>
        <v>0</v>
      </c>
      <c r="S20" s="259">
        <f t="shared" si="4"/>
        <v>0</v>
      </c>
      <c r="T20" s="259">
        <f t="shared" si="5"/>
        <v>2.5446879</v>
      </c>
      <c r="U20" s="260">
        <f t="shared" si="6"/>
        <v>2.5446879</v>
      </c>
      <c r="V20" s="11">
        <f t="shared" si="7"/>
        <v>5.654862</v>
      </c>
      <c r="W20" s="261">
        <f t="shared" si="8"/>
        <v>0.45</v>
      </c>
      <c r="X20" s="18">
        <v>0.014</v>
      </c>
      <c r="Y20" s="18">
        <v>0.008</v>
      </c>
      <c r="Z20" s="262">
        <f t="shared" si="9"/>
        <v>3.7516757865290713</v>
      </c>
      <c r="AA20" s="263">
        <f t="shared" si="10"/>
        <v>9.54684397870351</v>
      </c>
      <c r="AB20" s="264">
        <f t="shared" si="11"/>
        <v>34368.638323332634</v>
      </c>
      <c r="AC20" s="265">
        <f t="shared" si="12"/>
        <v>9546.84397870351</v>
      </c>
    </row>
    <row r="21" spans="1:29" s="3" customFormat="1" ht="19.5" customHeight="1">
      <c r="A21" s="412"/>
      <c r="B21" s="253" t="s">
        <v>588</v>
      </c>
      <c r="C21" s="253">
        <v>1000</v>
      </c>
      <c r="D21" s="253">
        <f t="shared" si="13"/>
        <v>17000</v>
      </c>
      <c r="E21" s="253">
        <v>10</v>
      </c>
      <c r="F21" s="253">
        <v>2</v>
      </c>
      <c r="G21" s="253">
        <v>30</v>
      </c>
      <c r="H21" s="253">
        <f t="shared" si="14"/>
        <v>3.5305818592419476</v>
      </c>
      <c r="I21" s="254">
        <f t="shared" si="0"/>
        <v>17.061163718483897</v>
      </c>
      <c r="J21" s="254">
        <v>2</v>
      </c>
      <c r="K21" s="11">
        <f t="shared" si="15"/>
        <v>303.28751572849364</v>
      </c>
      <c r="L21" s="255">
        <v>0.6</v>
      </c>
      <c r="M21" s="256">
        <f t="shared" si="1"/>
        <v>309.3532660430635</v>
      </c>
      <c r="N21" s="257">
        <v>1900</v>
      </c>
      <c r="O21" s="258">
        <v>1.9</v>
      </c>
      <c r="P21" s="18">
        <v>1</v>
      </c>
      <c r="Q21" s="11">
        <f t="shared" si="2"/>
        <v>0</v>
      </c>
      <c r="R21" s="11">
        <f t="shared" si="3"/>
        <v>0</v>
      </c>
      <c r="S21" s="259">
        <f t="shared" si="4"/>
        <v>0</v>
      </c>
      <c r="T21" s="259">
        <f t="shared" si="5"/>
        <v>2.8352849749999995</v>
      </c>
      <c r="U21" s="260">
        <f t="shared" si="6"/>
        <v>2.8352849749999995</v>
      </c>
      <c r="V21" s="11">
        <f t="shared" si="7"/>
        <v>5.969021</v>
      </c>
      <c r="W21" s="261">
        <f t="shared" si="8"/>
        <v>0.4749999999999999</v>
      </c>
      <c r="X21" s="18">
        <v>0.014</v>
      </c>
      <c r="Y21" s="18">
        <v>0.008</v>
      </c>
      <c r="Z21" s="262">
        <f t="shared" si="9"/>
        <v>3.889370933308129</v>
      </c>
      <c r="AA21" s="263">
        <f t="shared" si="10"/>
        <v>11.027474969410264</v>
      </c>
      <c r="AB21" s="264">
        <f t="shared" si="11"/>
        <v>39698.90988987695</v>
      </c>
      <c r="AC21" s="265">
        <f t="shared" si="12"/>
        <v>11027.474969410265</v>
      </c>
    </row>
    <row r="22" spans="1:29" s="3" customFormat="1" ht="19.5" customHeight="1" thickBot="1">
      <c r="A22" s="413"/>
      <c r="B22" s="266" t="s">
        <v>589</v>
      </c>
      <c r="C22" s="266">
        <v>1000</v>
      </c>
      <c r="D22" s="266">
        <f t="shared" si="13"/>
        <v>18000</v>
      </c>
      <c r="E22" s="266">
        <v>10</v>
      </c>
      <c r="F22" s="266">
        <v>2</v>
      </c>
      <c r="G22" s="266">
        <v>30</v>
      </c>
      <c r="H22" s="266">
        <f t="shared" si="14"/>
        <v>3.6591373528098297</v>
      </c>
      <c r="I22" s="267">
        <f t="shared" si="0"/>
        <v>17.318274705619658</v>
      </c>
      <c r="J22" s="267">
        <v>2</v>
      </c>
      <c r="K22" s="39">
        <f t="shared" si="15"/>
        <v>301.44529547480806</v>
      </c>
      <c r="L22" s="268">
        <v>0.6</v>
      </c>
      <c r="M22" s="269">
        <f t="shared" si="1"/>
        <v>325.5609191127927</v>
      </c>
      <c r="N22" s="270">
        <v>2000</v>
      </c>
      <c r="O22" s="271">
        <v>2</v>
      </c>
      <c r="P22" s="40">
        <v>1</v>
      </c>
      <c r="Q22" s="39">
        <f t="shared" si="2"/>
        <v>0</v>
      </c>
      <c r="R22" s="39">
        <f t="shared" si="3"/>
        <v>0</v>
      </c>
      <c r="S22" s="272">
        <f t="shared" si="4"/>
        <v>0</v>
      </c>
      <c r="T22" s="272">
        <f t="shared" si="5"/>
        <v>3.14159</v>
      </c>
      <c r="U22" s="273">
        <f t="shared" si="6"/>
        <v>3.14159</v>
      </c>
      <c r="V22" s="39">
        <f t="shared" si="7"/>
        <v>6.28318</v>
      </c>
      <c r="W22" s="274">
        <f t="shared" si="8"/>
        <v>0.5</v>
      </c>
      <c r="X22" s="40">
        <v>0.014</v>
      </c>
      <c r="Y22" s="40">
        <v>0.008</v>
      </c>
      <c r="Z22" s="275">
        <f t="shared" si="9"/>
        <v>4.024670162639772</v>
      </c>
      <c r="AA22" s="276">
        <f t="shared" si="10"/>
        <v>12.643863536247482</v>
      </c>
      <c r="AB22" s="277">
        <f t="shared" si="11"/>
        <v>45517.90873049093</v>
      </c>
      <c r="AC22" s="278">
        <f t="shared" si="12"/>
        <v>12643.863536247482</v>
      </c>
    </row>
    <row r="23" spans="1:13" s="3" customFormat="1" ht="15" customHeight="1">
      <c r="A23" s="410" t="s">
        <v>523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</row>
    <row r="24" spans="1:13" s="3" customFormat="1" ht="11.25" customHeight="1">
      <c r="A24" s="410"/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</row>
  </sheetData>
  <mergeCells count="8">
    <mergeCell ref="X2:X4"/>
    <mergeCell ref="Y2:Y4"/>
    <mergeCell ref="A3:B3"/>
    <mergeCell ref="A4:B4"/>
    <mergeCell ref="A5:A22"/>
    <mergeCell ref="A23:M24"/>
    <mergeCell ref="A1:I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7">
      <selection activeCell="Q13" sqref="Q13"/>
    </sheetView>
  </sheetViews>
  <sheetFormatPr defaultColWidth="9.00390625" defaultRowHeight="19.5" customHeight="1"/>
  <cols>
    <col min="1" max="1" width="7.50390625" style="279" bestFit="1" customWidth="1"/>
    <col min="2" max="2" width="8.125" style="279" customWidth="1"/>
    <col min="3" max="3" width="7.50390625" style="279" bestFit="1" customWidth="1"/>
    <col min="4" max="4" width="9.00390625" style="279" customWidth="1"/>
    <col min="5" max="6" width="8.50390625" style="279" hidden="1" customWidth="1"/>
    <col min="7" max="7" width="0" style="279" hidden="1" customWidth="1"/>
    <col min="8" max="8" width="7.50390625" style="279" hidden="1" customWidth="1"/>
    <col min="9" max="9" width="13.875" style="279" hidden="1" customWidth="1"/>
    <col min="10" max="10" width="4.50390625" style="279" hidden="1" customWidth="1"/>
    <col min="11" max="11" width="7.50390625" style="279" hidden="1" customWidth="1"/>
    <col min="12" max="12" width="7.50390625" style="279" bestFit="1" customWidth="1"/>
    <col min="13" max="13" width="9.375" style="279" customWidth="1"/>
    <col min="14" max="14" width="8.125" style="279" customWidth="1"/>
    <col min="15" max="15" width="0" style="279" hidden="1" customWidth="1"/>
    <col min="16" max="16" width="2.00390625" style="279" hidden="1" customWidth="1"/>
    <col min="17" max="17" width="11.125" style="279" customWidth="1"/>
    <col min="18" max="16384" width="9.00390625" style="279" customWidth="1"/>
  </cols>
  <sheetData>
    <row r="1" spans="1:18" ht="19.5" customHeight="1" thickBot="1">
      <c r="A1" s="433" t="s">
        <v>590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7" ht="19.5" customHeight="1">
      <c r="A2" s="434" t="s">
        <v>591</v>
      </c>
      <c r="B2" s="280" t="s">
        <v>537</v>
      </c>
      <c r="C2" s="280" t="s">
        <v>592</v>
      </c>
      <c r="D2" s="435" t="s">
        <v>593</v>
      </c>
      <c r="E2" s="280" t="s">
        <v>594</v>
      </c>
      <c r="F2" s="281" t="s">
        <v>595</v>
      </c>
      <c r="G2" s="280" t="s">
        <v>596</v>
      </c>
      <c r="H2" s="280" t="s">
        <v>597</v>
      </c>
      <c r="I2" s="280" t="s">
        <v>598</v>
      </c>
      <c r="J2" s="280" t="s">
        <v>599</v>
      </c>
      <c r="K2" s="280" t="s">
        <v>600</v>
      </c>
      <c r="L2" s="435" t="s">
        <v>601</v>
      </c>
      <c r="M2" s="435" t="s">
        <v>602</v>
      </c>
      <c r="N2" s="280" t="s">
        <v>603</v>
      </c>
      <c r="O2" s="280" t="s">
        <v>604</v>
      </c>
      <c r="P2" s="280" t="s">
        <v>604</v>
      </c>
      <c r="Q2" s="282" t="s">
        <v>604</v>
      </c>
    </row>
    <row r="3" spans="1:17" ht="19.5" customHeight="1">
      <c r="A3" s="429"/>
      <c r="B3" s="283" t="s">
        <v>567</v>
      </c>
      <c r="C3" s="283" t="s">
        <v>605</v>
      </c>
      <c r="D3" s="436"/>
      <c r="E3" s="283" t="s">
        <v>606</v>
      </c>
      <c r="F3" s="284" t="s">
        <v>607</v>
      </c>
      <c r="G3" s="283" t="s">
        <v>608</v>
      </c>
      <c r="H3" s="283" t="s">
        <v>608</v>
      </c>
      <c r="I3" s="283" t="s">
        <v>608</v>
      </c>
      <c r="J3" s="283" t="s">
        <v>608</v>
      </c>
      <c r="K3" s="283" t="s">
        <v>605</v>
      </c>
      <c r="L3" s="436"/>
      <c r="M3" s="436"/>
      <c r="N3" s="284" t="s">
        <v>609</v>
      </c>
      <c r="O3" s="284" t="s">
        <v>610</v>
      </c>
      <c r="P3" s="284" t="s">
        <v>611</v>
      </c>
      <c r="Q3" s="285" t="s">
        <v>612</v>
      </c>
    </row>
    <row r="4" spans="1:17" ht="19.5" customHeight="1">
      <c r="A4" s="426" t="s">
        <v>613</v>
      </c>
      <c r="B4" s="286">
        <v>50</v>
      </c>
      <c r="C4" s="283">
        <v>0.046</v>
      </c>
      <c r="D4" s="287">
        <v>0.5</v>
      </c>
      <c r="E4" s="288">
        <f aca="true" t="shared" si="0" ref="E4:E22">ACOS(2*D4-1)</f>
        <v>1.5707963267948966</v>
      </c>
      <c r="F4" s="288">
        <f aca="true" t="shared" si="1" ref="F4:F22">SIN(E4)</f>
        <v>1</v>
      </c>
      <c r="G4" s="289">
        <f>C4*C4/4*(2*D4-1)*F4</f>
        <v>0</v>
      </c>
      <c r="H4" s="289">
        <f>3.14159*C4*C4/4/(2*3.14159)*(2*3.14159-2*E4)</f>
        <v>0.0008309498531254996</v>
      </c>
      <c r="I4" s="290">
        <f>G4+H4</f>
        <v>0.0008309498531254996</v>
      </c>
      <c r="J4" s="288">
        <f>C4/2*(2*3.14159-2*E4)</f>
        <v>0.07225650896743475</v>
      </c>
      <c r="K4" s="291">
        <f>I4/J4</f>
        <v>0.011499999999999998</v>
      </c>
      <c r="L4" s="287">
        <v>0.009</v>
      </c>
      <c r="M4" s="287">
        <v>0.025</v>
      </c>
      <c r="N4" s="292">
        <f>1/L4*POWER(K4,2/3)*POWER(M4,1/2)</f>
        <v>0.895074920203344</v>
      </c>
      <c r="O4" s="293">
        <f>I4*N4</f>
        <v>0.000743762373479287</v>
      </c>
      <c r="P4" s="294">
        <f aca="true" t="shared" si="2" ref="P4:P22">O4*3600</f>
        <v>2.6775445445254333</v>
      </c>
      <c r="Q4" s="295">
        <f>P4/3.6</f>
        <v>0.743762373479287</v>
      </c>
    </row>
    <row r="5" spans="1:17" ht="19.5" customHeight="1">
      <c r="A5" s="427"/>
      <c r="B5" s="286">
        <v>75</v>
      </c>
      <c r="C5" s="283">
        <v>0.0704</v>
      </c>
      <c r="D5" s="287">
        <v>0.5</v>
      </c>
      <c r="E5" s="288">
        <f t="shared" si="0"/>
        <v>1.5707963267948966</v>
      </c>
      <c r="F5" s="288">
        <f t="shared" si="1"/>
        <v>1</v>
      </c>
      <c r="G5" s="289">
        <f>C5*C5/4*(2*D5-1)*F5</f>
        <v>0</v>
      </c>
      <c r="H5" s="289">
        <f>3.14159*C5*C5/4/(2*3.14159)*(2*3.14159-2*E5)</f>
        <v>0.0019462761928480514</v>
      </c>
      <c r="I5" s="290">
        <f>G5+H5</f>
        <v>0.0019462761928480514</v>
      </c>
      <c r="J5" s="288">
        <f>C5/2*(2*3.14159-2*E5)</f>
        <v>0.11058387459363928</v>
      </c>
      <c r="K5" s="291">
        <f>I5/J5</f>
        <v>0.0176</v>
      </c>
      <c r="L5" s="287">
        <v>0.009</v>
      </c>
      <c r="M5" s="287">
        <v>0.025</v>
      </c>
      <c r="N5" s="292">
        <f>1/L5*POWER(K5,2/3)*POWER(M5,1/2)</f>
        <v>1.188691818157505</v>
      </c>
      <c r="O5" s="293">
        <f>I5*N5</f>
        <v>0.002313522586313217</v>
      </c>
      <c r="P5" s="294">
        <f t="shared" si="2"/>
        <v>8.32868131072758</v>
      </c>
      <c r="Q5" s="295">
        <f aca="true" t="shared" si="3" ref="Q5:Q22">P5/3.6</f>
        <v>2.3135225863132165</v>
      </c>
    </row>
    <row r="6" spans="1:18" ht="19.5" customHeight="1">
      <c r="A6" s="427"/>
      <c r="B6" s="296">
        <v>110</v>
      </c>
      <c r="C6" s="297">
        <v>0.1036</v>
      </c>
      <c r="D6" s="287">
        <v>0.5</v>
      </c>
      <c r="E6" s="288">
        <f t="shared" si="0"/>
        <v>1.5707963267948966</v>
      </c>
      <c r="F6" s="288">
        <f t="shared" si="1"/>
        <v>1</v>
      </c>
      <c r="G6" s="289">
        <f aca="true" t="shared" si="4" ref="G6:G22">C6*C6/4*(2*D6-1)*F6</f>
        <v>0</v>
      </c>
      <c r="H6" s="289">
        <f aca="true" t="shared" si="5" ref="H6:H22">3.14159*C6*C6/4/(2*3.14159)*(2*3.14159-2*E6)</f>
        <v>0.004214816415690862</v>
      </c>
      <c r="I6" s="290">
        <f aca="true" t="shared" si="6" ref="I6:I22">G6+H6</f>
        <v>0.004214816415690862</v>
      </c>
      <c r="J6" s="288">
        <f aca="true" t="shared" si="7" ref="J6:J22">C6/2*(2*3.14159-2*E6)</f>
        <v>0.1627342245440487</v>
      </c>
      <c r="K6" s="291">
        <f aca="true" t="shared" si="8" ref="K6:K22">I6/J6</f>
        <v>0.0259</v>
      </c>
      <c r="L6" s="287">
        <v>0.009</v>
      </c>
      <c r="M6" s="287">
        <v>0.01</v>
      </c>
      <c r="N6" s="292">
        <f aca="true" t="shared" si="9" ref="N6:N22">1/L6*POWER(K6,2/3)*POWER(M6,1/2)</f>
        <v>0.9726516621361795</v>
      </c>
      <c r="O6" s="293">
        <f aca="true" t="shared" si="10" ref="O6:O22">I6*N6</f>
        <v>0.004099548192320571</v>
      </c>
      <c r="P6" s="294">
        <f t="shared" si="2"/>
        <v>14.758373492354055</v>
      </c>
      <c r="Q6" s="295">
        <f t="shared" si="3"/>
        <v>4.0995481923205705</v>
      </c>
      <c r="R6" s="279">
        <f>Q6*3.6</f>
        <v>14.758373492354055</v>
      </c>
    </row>
    <row r="7" spans="1:18" ht="19.5" customHeight="1">
      <c r="A7" s="427"/>
      <c r="B7" s="296">
        <v>160</v>
      </c>
      <c r="C7" s="291">
        <v>0.152</v>
      </c>
      <c r="D7" s="287">
        <v>0.6</v>
      </c>
      <c r="E7" s="288">
        <f t="shared" si="0"/>
        <v>1.3694384060045657</v>
      </c>
      <c r="F7" s="288">
        <f t="shared" si="1"/>
        <v>0.9797958971132712</v>
      </c>
      <c r="G7" s="289">
        <f t="shared" si="4"/>
        <v>0.0011318602203452507</v>
      </c>
      <c r="H7" s="289">
        <f t="shared" si="5"/>
        <v>0.010235947606917628</v>
      </c>
      <c r="I7" s="290">
        <f t="shared" si="6"/>
        <v>0.011367807827262879</v>
      </c>
      <c r="J7" s="288">
        <f t="shared" si="7"/>
        <v>0.269367042287306</v>
      </c>
      <c r="K7" s="291">
        <f t="shared" si="8"/>
        <v>0.042201925412753395</v>
      </c>
      <c r="L7" s="287">
        <v>0.009</v>
      </c>
      <c r="M7" s="287">
        <v>0.01</v>
      </c>
      <c r="N7" s="292">
        <f t="shared" si="9"/>
        <v>1.346828613010918</v>
      </c>
      <c r="O7" s="293">
        <f t="shared" si="10"/>
        <v>0.01531048884896712</v>
      </c>
      <c r="P7" s="294">
        <f t="shared" si="2"/>
        <v>55.11775985628163</v>
      </c>
      <c r="Q7" s="295">
        <f t="shared" si="3"/>
        <v>15.310488848967118</v>
      </c>
      <c r="R7" s="279">
        <f>Q7*3.6</f>
        <v>55.11775985628163</v>
      </c>
    </row>
    <row r="8" spans="1:17" ht="19.5" customHeight="1">
      <c r="A8" s="427"/>
      <c r="B8" s="298">
        <v>200</v>
      </c>
      <c r="C8" s="289">
        <v>0.182</v>
      </c>
      <c r="D8" s="287">
        <v>0.5</v>
      </c>
      <c r="E8" s="288">
        <f t="shared" si="0"/>
        <v>1.5707963267948966</v>
      </c>
      <c r="F8" s="288">
        <f t="shared" si="1"/>
        <v>1</v>
      </c>
      <c r="G8" s="289">
        <f t="shared" si="4"/>
        <v>0</v>
      </c>
      <c r="H8" s="289">
        <f t="shared" si="5"/>
        <v>0.013007742407811461</v>
      </c>
      <c r="I8" s="290">
        <f t="shared" si="6"/>
        <v>0.013007742407811461</v>
      </c>
      <c r="J8" s="288">
        <f t="shared" si="7"/>
        <v>0.2858844485233288</v>
      </c>
      <c r="K8" s="291">
        <f t="shared" si="8"/>
        <v>0.045500000000000006</v>
      </c>
      <c r="L8" s="287">
        <v>0.009</v>
      </c>
      <c r="M8" s="287">
        <v>0.008</v>
      </c>
      <c r="N8" s="292">
        <f t="shared" si="9"/>
        <v>1.2666114660046601</v>
      </c>
      <c r="O8" s="293">
        <f t="shared" si="10"/>
        <v>0.01647575568056906</v>
      </c>
      <c r="P8" s="294">
        <f t="shared" si="2"/>
        <v>59.31272045004862</v>
      </c>
      <c r="Q8" s="295">
        <f t="shared" si="3"/>
        <v>16.475755680569062</v>
      </c>
    </row>
    <row r="9" spans="1:17" ht="19.5" customHeight="1">
      <c r="A9" s="428"/>
      <c r="B9" s="298">
        <v>250</v>
      </c>
      <c r="C9" s="289">
        <v>0.228</v>
      </c>
      <c r="D9" s="287">
        <v>0.5</v>
      </c>
      <c r="E9" s="288">
        <f t="shared" si="0"/>
        <v>1.5707963267948966</v>
      </c>
      <c r="F9" s="288">
        <f t="shared" si="1"/>
        <v>1</v>
      </c>
      <c r="G9" s="289">
        <f>C9*C9/4*(2*D9-1)*F9</f>
        <v>0</v>
      </c>
      <c r="H9" s="289">
        <f>3.14159*C9*C9/4/(2*3.14159)*(2*3.14159-2*E9)</f>
        <v>0.020414034576973522</v>
      </c>
      <c r="I9" s="290">
        <f>G9+H9</f>
        <v>0.020414034576973522</v>
      </c>
      <c r="J9" s="288">
        <f>C9/2*(2*3.14159-2*E9)</f>
        <v>0.3581409574907636</v>
      </c>
      <c r="K9" s="291">
        <f>I9/J9</f>
        <v>0.056999999999999995</v>
      </c>
      <c r="L9" s="287">
        <v>0.009</v>
      </c>
      <c r="M9" s="287">
        <v>0.008</v>
      </c>
      <c r="N9" s="292">
        <f>1/L9*POWER(K9,2/3)*POWER(M9,1/2)</f>
        <v>1.4719251339079393</v>
      </c>
      <c r="O9" s="293">
        <f>I9*N9</f>
        <v>0.030047930578313054</v>
      </c>
      <c r="P9" s="294">
        <f t="shared" si="2"/>
        <v>108.172550081927</v>
      </c>
      <c r="Q9" s="295">
        <f t="shared" si="3"/>
        <v>30.047930578313053</v>
      </c>
    </row>
    <row r="10" spans="1:18" ht="19.5" customHeight="1">
      <c r="A10" s="429" t="s">
        <v>614</v>
      </c>
      <c r="B10" s="298">
        <v>300</v>
      </c>
      <c r="C10" s="289">
        <v>0.3</v>
      </c>
      <c r="D10" s="287">
        <v>0.5</v>
      </c>
      <c r="E10" s="288">
        <f t="shared" si="0"/>
        <v>1.5707963267948966</v>
      </c>
      <c r="F10" s="288">
        <f t="shared" si="1"/>
        <v>1</v>
      </c>
      <c r="G10" s="289">
        <f t="shared" si="4"/>
        <v>0</v>
      </c>
      <c r="H10" s="289">
        <f t="shared" si="5"/>
        <v>0.035342857647114825</v>
      </c>
      <c r="I10" s="290">
        <f t="shared" si="6"/>
        <v>0.035342857647114825</v>
      </c>
      <c r="J10" s="288">
        <f t="shared" si="7"/>
        <v>0.471238101961531</v>
      </c>
      <c r="K10" s="291">
        <f t="shared" si="8"/>
        <v>0.075</v>
      </c>
      <c r="L10" s="287">
        <v>0.013</v>
      </c>
      <c r="M10" s="287">
        <v>0.004</v>
      </c>
      <c r="N10" s="292">
        <f t="shared" si="9"/>
        <v>0.8652218643378008</v>
      </c>
      <c r="O10" s="293">
        <f t="shared" si="10"/>
        <v>0.03057941318446219</v>
      </c>
      <c r="P10" s="294">
        <f t="shared" si="2"/>
        <v>110.08588746406387</v>
      </c>
      <c r="Q10" s="295">
        <f t="shared" si="3"/>
        <v>30.579413184462187</v>
      </c>
      <c r="R10" s="279">
        <f>Q10*3.6</f>
        <v>110.08588746406387</v>
      </c>
    </row>
    <row r="11" spans="1:18" ht="19.5" customHeight="1">
      <c r="A11" s="429"/>
      <c r="B11" s="298">
        <v>400</v>
      </c>
      <c r="C11" s="289">
        <v>0.4</v>
      </c>
      <c r="D11" s="287">
        <v>0.5</v>
      </c>
      <c r="E11" s="288">
        <f t="shared" si="0"/>
        <v>1.5707963267948966</v>
      </c>
      <c r="F11" s="288">
        <f t="shared" si="1"/>
        <v>1</v>
      </c>
      <c r="G11" s="289">
        <f t="shared" si="4"/>
        <v>0</v>
      </c>
      <c r="H11" s="289">
        <f t="shared" si="5"/>
        <v>0.06283174692820415</v>
      </c>
      <c r="I11" s="290">
        <f t="shared" si="6"/>
        <v>0.06283174692820415</v>
      </c>
      <c r="J11" s="288">
        <f t="shared" si="7"/>
        <v>0.6283174692820414</v>
      </c>
      <c r="K11" s="291">
        <f t="shared" si="8"/>
        <v>0.10000000000000002</v>
      </c>
      <c r="L11" s="287">
        <v>0.013</v>
      </c>
      <c r="M11" s="287">
        <v>0.004</v>
      </c>
      <c r="N11" s="292">
        <f t="shared" si="9"/>
        <v>1.0481416447045562</v>
      </c>
      <c r="O11" s="293">
        <f t="shared" si="10"/>
        <v>0.06585657056498834</v>
      </c>
      <c r="P11" s="294">
        <f t="shared" si="2"/>
        <v>237.08365403395803</v>
      </c>
      <c r="Q11" s="295">
        <f t="shared" si="3"/>
        <v>65.85657056498835</v>
      </c>
      <c r="R11" s="279">
        <f>Q11*3.6</f>
        <v>237.08365403395806</v>
      </c>
    </row>
    <row r="12" spans="1:17" ht="19.5" customHeight="1">
      <c r="A12" s="430"/>
      <c r="B12" s="298">
        <v>500</v>
      </c>
      <c r="C12" s="289">
        <v>0.5</v>
      </c>
      <c r="D12" s="287">
        <v>1</v>
      </c>
      <c r="E12" s="288">
        <f t="shared" si="0"/>
        <v>0</v>
      </c>
      <c r="F12" s="288">
        <f t="shared" si="1"/>
        <v>0</v>
      </c>
      <c r="G12" s="289">
        <f t="shared" si="4"/>
        <v>0</v>
      </c>
      <c r="H12" s="289">
        <f t="shared" si="5"/>
        <v>0.196349375</v>
      </c>
      <c r="I12" s="290">
        <f t="shared" si="6"/>
        <v>0.196349375</v>
      </c>
      <c r="J12" s="288">
        <f t="shared" si="7"/>
        <v>1.570795</v>
      </c>
      <c r="K12" s="291">
        <f t="shared" si="8"/>
        <v>0.125</v>
      </c>
      <c r="L12" s="287">
        <v>0.013</v>
      </c>
      <c r="M12" s="287">
        <v>0.004</v>
      </c>
      <c r="N12" s="292">
        <f t="shared" si="9"/>
        <v>1.2162606385262997</v>
      </c>
      <c r="O12" s="293">
        <f t="shared" si="10"/>
        <v>0.23881201621173986</v>
      </c>
      <c r="P12" s="294">
        <f t="shared" si="2"/>
        <v>859.7232583622636</v>
      </c>
      <c r="Q12" s="295">
        <f t="shared" si="3"/>
        <v>238.81201621173986</v>
      </c>
    </row>
    <row r="13" spans="1:17" ht="19.5" customHeight="1">
      <c r="A13" s="430"/>
      <c r="B13" s="298">
        <v>600</v>
      </c>
      <c r="C13" s="289">
        <v>0.6</v>
      </c>
      <c r="D13" s="287">
        <v>1</v>
      </c>
      <c r="E13" s="288">
        <f t="shared" si="0"/>
        <v>0</v>
      </c>
      <c r="F13" s="288">
        <f t="shared" si="1"/>
        <v>0</v>
      </c>
      <c r="G13" s="289">
        <f t="shared" si="4"/>
        <v>0</v>
      </c>
      <c r="H13" s="289">
        <f t="shared" si="5"/>
        <v>0.28274309999999997</v>
      </c>
      <c r="I13" s="290">
        <f t="shared" si="6"/>
        <v>0.28274309999999997</v>
      </c>
      <c r="J13" s="288">
        <f t="shared" si="7"/>
        <v>1.8849539999999998</v>
      </c>
      <c r="K13" s="291">
        <f t="shared" si="8"/>
        <v>0.15</v>
      </c>
      <c r="L13" s="287">
        <v>0.013</v>
      </c>
      <c r="M13" s="287">
        <v>0.004</v>
      </c>
      <c r="N13" s="292">
        <f t="shared" si="9"/>
        <v>1.3734540976357117</v>
      </c>
      <c r="O13" s="293">
        <f t="shared" si="10"/>
        <v>0.38833466927322374</v>
      </c>
      <c r="P13" s="294">
        <f t="shared" si="2"/>
        <v>1398.0048093836056</v>
      </c>
      <c r="Q13" s="295">
        <f t="shared" si="3"/>
        <v>388.33466927322377</v>
      </c>
    </row>
    <row r="14" spans="1:17" ht="19.5" customHeight="1">
      <c r="A14" s="430"/>
      <c r="B14" s="298">
        <v>700</v>
      </c>
      <c r="C14" s="289">
        <v>0.7</v>
      </c>
      <c r="D14" s="287">
        <v>1</v>
      </c>
      <c r="E14" s="288">
        <f t="shared" si="0"/>
        <v>0</v>
      </c>
      <c r="F14" s="288">
        <f t="shared" si="1"/>
        <v>0</v>
      </c>
      <c r="G14" s="289">
        <f t="shared" si="4"/>
        <v>0</v>
      </c>
      <c r="H14" s="289">
        <f t="shared" si="5"/>
        <v>0.3848447749999999</v>
      </c>
      <c r="I14" s="290">
        <f t="shared" si="6"/>
        <v>0.3848447749999999</v>
      </c>
      <c r="J14" s="288">
        <f t="shared" si="7"/>
        <v>2.1991129999999997</v>
      </c>
      <c r="K14" s="291">
        <f t="shared" si="8"/>
        <v>0.175</v>
      </c>
      <c r="L14" s="287">
        <v>0.013</v>
      </c>
      <c r="M14" s="287">
        <v>0.004</v>
      </c>
      <c r="N14" s="292">
        <f t="shared" si="9"/>
        <v>1.522107558128455</v>
      </c>
      <c r="O14" s="293">
        <f t="shared" si="10"/>
        <v>0.5857751407337446</v>
      </c>
      <c r="P14" s="294">
        <f t="shared" si="2"/>
        <v>2108.7905066414805</v>
      </c>
      <c r="Q14" s="295">
        <f t="shared" si="3"/>
        <v>585.7751407337446</v>
      </c>
    </row>
    <row r="15" spans="1:17" ht="19.5" customHeight="1">
      <c r="A15" s="430"/>
      <c r="B15" s="298">
        <v>800</v>
      </c>
      <c r="C15" s="289">
        <v>0.8</v>
      </c>
      <c r="D15" s="287">
        <v>1</v>
      </c>
      <c r="E15" s="288">
        <f t="shared" si="0"/>
        <v>0</v>
      </c>
      <c r="F15" s="288">
        <f t="shared" si="1"/>
        <v>0</v>
      </c>
      <c r="G15" s="289">
        <f t="shared" si="4"/>
        <v>0</v>
      </c>
      <c r="H15" s="289">
        <f t="shared" si="5"/>
        <v>0.5026544000000001</v>
      </c>
      <c r="I15" s="290">
        <f t="shared" si="6"/>
        <v>0.5026544000000001</v>
      </c>
      <c r="J15" s="288">
        <f t="shared" si="7"/>
        <v>2.513272</v>
      </c>
      <c r="K15" s="291">
        <f t="shared" si="8"/>
        <v>0.2</v>
      </c>
      <c r="L15" s="287">
        <v>0.013</v>
      </c>
      <c r="M15" s="287">
        <v>0.004</v>
      </c>
      <c r="N15" s="292">
        <f t="shared" si="9"/>
        <v>1.6638211494156907</v>
      </c>
      <c r="O15" s="293">
        <f t="shared" si="10"/>
        <v>0.8363270215668545</v>
      </c>
      <c r="P15" s="294">
        <f t="shared" si="2"/>
        <v>3010.777277640676</v>
      </c>
      <c r="Q15" s="295">
        <f t="shared" si="3"/>
        <v>836.3270215668545</v>
      </c>
    </row>
    <row r="16" spans="1:17" ht="19.5" customHeight="1">
      <c r="A16" s="430"/>
      <c r="B16" s="298">
        <v>900</v>
      </c>
      <c r="C16" s="289">
        <v>0.9</v>
      </c>
      <c r="D16" s="287">
        <v>1</v>
      </c>
      <c r="E16" s="288">
        <f t="shared" si="0"/>
        <v>0</v>
      </c>
      <c r="F16" s="288">
        <f t="shared" si="1"/>
        <v>0</v>
      </c>
      <c r="G16" s="289">
        <f t="shared" si="4"/>
        <v>0</v>
      </c>
      <c r="H16" s="289">
        <f t="shared" si="5"/>
        <v>0.636171975</v>
      </c>
      <c r="I16" s="290">
        <f t="shared" si="6"/>
        <v>0.636171975</v>
      </c>
      <c r="J16" s="288">
        <f t="shared" si="7"/>
        <v>2.827431</v>
      </c>
      <c r="K16" s="291">
        <f t="shared" si="8"/>
        <v>0.225</v>
      </c>
      <c r="L16" s="287">
        <v>0.013</v>
      </c>
      <c r="M16" s="287">
        <v>0.004</v>
      </c>
      <c r="N16" s="292">
        <f t="shared" si="9"/>
        <v>1.7997340033598686</v>
      </c>
      <c r="O16" s="293">
        <f t="shared" si="10"/>
        <v>1.1449403353921042</v>
      </c>
      <c r="P16" s="294">
        <f t="shared" si="2"/>
        <v>4121.785207411575</v>
      </c>
      <c r="Q16" s="295">
        <f t="shared" si="3"/>
        <v>1144.9403353921043</v>
      </c>
    </row>
    <row r="17" spans="1:17" ht="19.5" customHeight="1">
      <c r="A17" s="430"/>
      <c r="B17" s="298">
        <v>1000</v>
      </c>
      <c r="C17" s="289">
        <v>1</v>
      </c>
      <c r="D17" s="287">
        <v>1</v>
      </c>
      <c r="E17" s="288">
        <f t="shared" si="0"/>
        <v>0</v>
      </c>
      <c r="F17" s="288">
        <f t="shared" si="1"/>
        <v>0</v>
      </c>
      <c r="G17" s="289">
        <f t="shared" si="4"/>
        <v>0</v>
      </c>
      <c r="H17" s="289">
        <f t="shared" si="5"/>
        <v>0.7853975</v>
      </c>
      <c r="I17" s="290">
        <f t="shared" si="6"/>
        <v>0.7853975</v>
      </c>
      <c r="J17" s="288">
        <f t="shared" si="7"/>
        <v>3.14159</v>
      </c>
      <c r="K17" s="291">
        <f t="shared" si="8"/>
        <v>0.25</v>
      </c>
      <c r="L17" s="287">
        <v>0.013</v>
      </c>
      <c r="M17" s="287">
        <v>0.004</v>
      </c>
      <c r="N17" s="292">
        <f t="shared" si="9"/>
        <v>1.930693417064162</v>
      </c>
      <c r="O17" s="293">
        <f t="shared" si="10"/>
        <v>1.5163617830286502</v>
      </c>
      <c r="P17" s="294">
        <f t="shared" si="2"/>
        <v>5458.902418903141</v>
      </c>
      <c r="Q17" s="295">
        <f t="shared" si="3"/>
        <v>1516.36178302865</v>
      </c>
    </row>
    <row r="18" spans="1:17" ht="19.5" customHeight="1">
      <c r="A18" s="430"/>
      <c r="B18" s="298">
        <v>1100</v>
      </c>
      <c r="C18" s="289">
        <v>2</v>
      </c>
      <c r="D18" s="287">
        <v>1</v>
      </c>
      <c r="E18" s="288">
        <f t="shared" si="0"/>
        <v>0</v>
      </c>
      <c r="F18" s="288">
        <f t="shared" si="1"/>
        <v>0</v>
      </c>
      <c r="G18" s="289">
        <f t="shared" si="4"/>
        <v>0</v>
      </c>
      <c r="H18" s="289">
        <f t="shared" si="5"/>
        <v>3.14159</v>
      </c>
      <c r="I18" s="290">
        <f t="shared" si="6"/>
        <v>3.14159</v>
      </c>
      <c r="J18" s="288">
        <f t="shared" si="7"/>
        <v>6.28318</v>
      </c>
      <c r="K18" s="291">
        <f t="shared" si="8"/>
        <v>0.5</v>
      </c>
      <c r="L18" s="287">
        <v>0.013</v>
      </c>
      <c r="M18" s="287">
        <v>0.004</v>
      </c>
      <c r="N18" s="292">
        <f t="shared" si="9"/>
        <v>3.064784761275728</v>
      </c>
      <c r="O18" s="293">
        <f t="shared" si="10"/>
        <v>9.628297158176215</v>
      </c>
      <c r="P18" s="294">
        <f t="shared" si="2"/>
        <v>34661.86976943437</v>
      </c>
      <c r="Q18" s="295">
        <f t="shared" si="3"/>
        <v>9628.297158176214</v>
      </c>
    </row>
    <row r="19" spans="1:17" ht="19.5" customHeight="1">
      <c r="A19" s="430"/>
      <c r="B19" s="298">
        <v>1200</v>
      </c>
      <c r="C19" s="289">
        <v>1.2</v>
      </c>
      <c r="D19" s="287">
        <v>1</v>
      </c>
      <c r="E19" s="288">
        <f t="shared" si="0"/>
        <v>0</v>
      </c>
      <c r="F19" s="288">
        <f t="shared" si="1"/>
        <v>0</v>
      </c>
      <c r="G19" s="289">
        <f t="shared" si="4"/>
        <v>0</v>
      </c>
      <c r="H19" s="289">
        <f t="shared" si="5"/>
        <v>1.1309723999999999</v>
      </c>
      <c r="I19" s="290">
        <f t="shared" si="6"/>
        <v>1.1309723999999999</v>
      </c>
      <c r="J19" s="288">
        <f t="shared" si="7"/>
        <v>3.7699079999999996</v>
      </c>
      <c r="K19" s="291">
        <f t="shared" si="8"/>
        <v>0.3</v>
      </c>
      <c r="L19" s="287">
        <v>0.013</v>
      </c>
      <c r="M19" s="287">
        <v>0.0015</v>
      </c>
      <c r="N19" s="292">
        <f t="shared" si="9"/>
        <v>1.3351081500792896</v>
      </c>
      <c r="O19" s="293">
        <f t="shared" si="10"/>
        <v>1.5099704687547342</v>
      </c>
      <c r="P19" s="294">
        <f t="shared" si="2"/>
        <v>5435.893687517043</v>
      </c>
      <c r="Q19" s="295">
        <f t="shared" si="3"/>
        <v>1509.9704687547342</v>
      </c>
    </row>
    <row r="20" spans="1:17" ht="19.5" customHeight="1">
      <c r="A20" s="430"/>
      <c r="B20" s="298">
        <v>1300</v>
      </c>
      <c r="C20" s="289">
        <v>1.3</v>
      </c>
      <c r="D20" s="287">
        <v>1</v>
      </c>
      <c r="E20" s="288">
        <f t="shared" si="0"/>
        <v>0</v>
      </c>
      <c r="F20" s="288">
        <f t="shared" si="1"/>
        <v>0</v>
      </c>
      <c r="G20" s="289">
        <f t="shared" si="4"/>
        <v>0</v>
      </c>
      <c r="H20" s="289">
        <f t="shared" si="5"/>
        <v>1.3273217750000001</v>
      </c>
      <c r="I20" s="290">
        <f t="shared" si="6"/>
        <v>1.3273217750000001</v>
      </c>
      <c r="J20" s="288">
        <f t="shared" si="7"/>
        <v>4.084067</v>
      </c>
      <c r="K20" s="291">
        <f t="shared" si="8"/>
        <v>0.325</v>
      </c>
      <c r="L20" s="287">
        <v>0.013</v>
      </c>
      <c r="M20" s="287">
        <v>0.0015</v>
      </c>
      <c r="N20" s="292">
        <f t="shared" si="9"/>
        <v>1.408287046178391</v>
      </c>
      <c r="O20" s="293">
        <f t="shared" si="10"/>
        <v>1.869250061843009</v>
      </c>
      <c r="P20" s="294">
        <f t="shared" si="2"/>
        <v>6729.300222634833</v>
      </c>
      <c r="Q20" s="295">
        <f t="shared" si="3"/>
        <v>1869.250061843009</v>
      </c>
    </row>
    <row r="21" spans="1:17" ht="19.5" customHeight="1">
      <c r="A21" s="430"/>
      <c r="B21" s="298">
        <v>1400</v>
      </c>
      <c r="C21" s="289">
        <v>1.4</v>
      </c>
      <c r="D21" s="287">
        <v>1</v>
      </c>
      <c r="E21" s="288">
        <f t="shared" si="0"/>
        <v>0</v>
      </c>
      <c r="F21" s="288">
        <f t="shared" si="1"/>
        <v>0</v>
      </c>
      <c r="G21" s="289">
        <f t="shared" si="4"/>
        <v>0</v>
      </c>
      <c r="H21" s="289">
        <f t="shared" si="5"/>
        <v>1.5393790999999997</v>
      </c>
      <c r="I21" s="290">
        <f t="shared" si="6"/>
        <v>1.5393790999999997</v>
      </c>
      <c r="J21" s="288">
        <f t="shared" si="7"/>
        <v>4.398225999999999</v>
      </c>
      <c r="K21" s="291">
        <f t="shared" si="8"/>
        <v>0.35</v>
      </c>
      <c r="L21" s="287">
        <v>0.013</v>
      </c>
      <c r="M21" s="287">
        <v>0.0015</v>
      </c>
      <c r="N21" s="292">
        <f t="shared" si="9"/>
        <v>1.4796113023746584</v>
      </c>
      <c r="O21" s="293">
        <f t="shared" si="10"/>
        <v>2.277682714999329</v>
      </c>
      <c r="P21" s="294">
        <f t="shared" si="2"/>
        <v>8199.657773997584</v>
      </c>
      <c r="Q21" s="295">
        <f t="shared" si="3"/>
        <v>2277.6827149993287</v>
      </c>
    </row>
    <row r="22" spans="1:17" ht="19.5" customHeight="1" thickBot="1">
      <c r="A22" s="431"/>
      <c r="B22" s="299">
        <v>1500</v>
      </c>
      <c r="C22" s="300">
        <v>1.5</v>
      </c>
      <c r="D22" s="301">
        <v>1</v>
      </c>
      <c r="E22" s="302">
        <f t="shared" si="0"/>
        <v>0</v>
      </c>
      <c r="F22" s="302">
        <f t="shared" si="1"/>
        <v>0</v>
      </c>
      <c r="G22" s="300">
        <f t="shared" si="4"/>
        <v>0</v>
      </c>
      <c r="H22" s="300">
        <f t="shared" si="5"/>
        <v>1.767144375</v>
      </c>
      <c r="I22" s="303">
        <f t="shared" si="6"/>
        <v>1.767144375</v>
      </c>
      <c r="J22" s="302">
        <f t="shared" si="7"/>
        <v>4.712384999999999</v>
      </c>
      <c r="K22" s="304">
        <f t="shared" si="8"/>
        <v>0.37500000000000006</v>
      </c>
      <c r="L22" s="301">
        <v>0.013</v>
      </c>
      <c r="M22" s="301">
        <v>0.0015</v>
      </c>
      <c r="N22" s="305">
        <f t="shared" si="9"/>
        <v>1.549255770268362</v>
      </c>
      <c r="O22" s="306">
        <f t="shared" si="10"/>
        <v>2.737758619866028</v>
      </c>
      <c r="P22" s="307">
        <f t="shared" si="2"/>
        <v>9855.9310315177</v>
      </c>
      <c r="Q22" s="308">
        <f t="shared" si="3"/>
        <v>2737.758619866028</v>
      </c>
    </row>
    <row r="24" spans="2:6" ht="19.5" customHeight="1">
      <c r="B24" s="432" t="s">
        <v>615</v>
      </c>
      <c r="C24" s="432"/>
      <c r="D24" s="432"/>
      <c r="E24" s="432"/>
      <c r="F24" s="432"/>
    </row>
    <row r="25" spans="2:6" ht="19.5" customHeight="1">
      <c r="B25" s="432" t="s">
        <v>616</v>
      </c>
      <c r="C25" s="432"/>
      <c r="D25" s="432"/>
      <c r="E25" s="432"/>
      <c r="F25" s="432"/>
    </row>
    <row r="26" spans="2:6" ht="19.5" customHeight="1">
      <c r="B26" s="425" t="s">
        <v>617</v>
      </c>
      <c r="C26" s="425"/>
      <c r="D26" s="425"/>
      <c r="E26" s="425"/>
      <c r="F26" s="425"/>
    </row>
    <row r="27" spans="2:6" ht="19.5" customHeight="1">
      <c r="B27" s="424" t="s">
        <v>618</v>
      </c>
      <c r="C27" s="425"/>
      <c r="D27" s="425"/>
      <c r="E27" s="425"/>
      <c r="F27" s="425"/>
    </row>
    <row r="28" spans="2:6" ht="19.5" customHeight="1">
      <c r="B28" s="424" t="s">
        <v>619</v>
      </c>
      <c r="C28" s="425"/>
      <c r="D28" s="425"/>
      <c r="E28" s="425"/>
      <c r="F28" s="425"/>
    </row>
    <row r="29" spans="2:6" ht="19.5" customHeight="1">
      <c r="B29" s="424" t="s">
        <v>620</v>
      </c>
      <c r="C29" s="425"/>
      <c r="D29" s="425"/>
      <c r="E29" s="425"/>
      <c r="F29" s="425"/>
    </row>
    <row r="30" spans="2:6" ht="19.5" customHeight="1">
      <c r="B30" s="424" t="s">
        <v>621</v>
      </c>
      <c r="C30" s="425"/>
      <c r="D30" s="425"/>
      <c r="E30" s="425"/>
      <c r="F30" s="425"/>
    </row>
    <row r="31" spans="2:6" ht="19.5" customHeight="1">
      <c r="B31" s="424" t="s">
        <v>622</v>
      </c>
      <c r="C31" s="425"/>
      <c r="D31" s="425"/>
      <c r="E31" s="425"/>
      <c r="F31" s="425"/>
    </row>
  </sheetData>
  <mergeCells count="15">
    <mergeCell ref="A1:R1"/>
    <mergeCell ref="A2:A3"/>
    <mergeCell ref="D2:D3"/>
    <mergeCell ref="L2:L3"/>
    <mergeCell ref="M2:M3"/>
    <mergeCell ref="A4:A9"/>
    <mergeCell ref="A10:A22"/>
    <mergeCell ref="B24:F24"/>
    <mergeCell ref="B25:F25"/>
    <mergeCell ref="B30:F30"/>
    <mergeCell ref="B31:F31"/>
    <mergeCell ref="B26:F26"/>
    <mergeCell ref="B27:F27"/>
    <mergeCell ref="B28:F28"/>
    <mergeCell ref="B29:F29"/>
  </mergeCells>
  <printOptions/>
  <pageMargins left="0.75" right="0.75" top="1" bottom="1" header="0.5" footer="0.5"/>
  <pageSetup orientation="portrait" paperSize="9"/>
  <legacyDrawing r:id="rId3"/>
  <oleObjects>
    <oleObject progId="AutoCAD.Drawing.14" shapeId="741981" r:id="rId1"/>
    <oleObject progId="AutoCAD.Drawing.14" shapeId="741983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C15" sqref="C15"/>
    </sheetView>
  </sheetViews>
  <sheetFormatPr defaultColWidth="9.00390625" defaultRowHeight="16.5"/>
  <cols>
    <col min="1" max="1" width="20.625" style="44" bestFit="1" customWidth="1"/>
    <col min="2" max="2" width="8.00390625" style="44" bestFit="1" customWidth="1"/>
    <col min="3" max="3" width="6.375" style="44" bestFit="1" customWidth="1"/>
    <col min="4" max="6" width="4.75390625" style="44" bestFit="1" customWidth="1"/>
    <col min="7" max="8" width="8.00390625" style="44" bestFit="1" customWidth="1"/>
    <col min="9" max="9" width="4.75390625" style="44" bestFit="1" customWidth="1"/>
    <col min="10" max="10" width="9.625" style="44" customWidth="1"/>
    <col min="11" max="12" width="8.00390625" style="44" customWidth="1"/>
    <col min="13" max="13" width="6.375" style="44" bestFit="1" customWidth="1"/>
    <col min="14" max="15" width="5.00390625" style="44" bestFit="1" customWidth="1"/>
    <col min="16" max="16" width="8.50390625" style="44" hidden="1" customWidth="1"/>
    <col min="17" max="16384" width="9.00390625" style="44" customWidth="1"/>
  </cols>
  <sheetData>
    <row r="1" spans="1:10" ht="19.5" customHeight="1" thickBot="1">
      <c r="A1" s="437" t="s">
        <v>375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6" ht="19.5" customHeight="1">
      <c r="A2" s="111" t="s">
        <v>376</v>
      </c>
      <c r="B2" s="21" t="s">
        <v>67</v>
      </c>
      <c r="C2" s="21" t="s">
        <v>377</v>
      </c>
      <c r="D2" s="21" t="s">
        <v>378</v>
      </c>
      <c r="E2" s="21" t="s">
        <v>377</v>
      </c>
      <c r="F2" s="21" t="s">
        <v>69</v>
      </c>
      <c r="G2" s="21" t="s">
        <v>378</v>
      </c>
      <c r="H2" s="21" t="s">
        <v>70</v>
      </c>
      <c r="I2" s="21" t="s">
        <v>71</v>
      </c>
      <c r="J2" s="21" t="s">
        <v>72</v>
      </c>
      <c r="K2" s="21" t="s">
        <v>73</v>
      </c>
      <c r="L2" s="21" t="s">
        <v>70</v>
      </c>
      <c r="M2" s="21" t="s">
        <v>322</v>
      </c>
      <c r="N2" s="21" t="s">
        <v>323</v>
      </c>
      <c r="O2" s="56" t="s">
        <v>324</v>
      </c>
      <c r="P2" s="72" t="s">
        <v>325</v>
      </c>
    </row>
    <row r="3" spans="1:16" ht="19.5" customHeight="1">
      <c r="A3" s="76" t="s">
        <v>379</v>
      </c>
      <c r="B3" s="22" t="s">
        <v>79</v>
      </c>
      <c r="C3" s="22" t="s">
        <v>380</v>
      </c>
      <c r="D3" s="22" t="s">
        <v>381</v>
      </c>
      <c r="E3" s="22" t="s">
        <v>382</v>
      </c>
      <c r="F3" s="22" t="s">
        <v>80</v>
      </c>
      <c r="G3" s="22" t="s">
        <v>384</v>
      </c>
      <c r="H3" s="22" t="s">
        <v>81</v>
      </c>
      <c r="I3" s="22" t="s">
        <v>82</v>
      </c>
      <c r="J3" s="22" t="s">
        <v>73</v>
      </c>
      <c r="K3" s="22" t="s">
        <v>83</v>
      </c>
      <c r="L3" s="22" t="s">
        <v>84</v>
      </c>
      <c r="M3" s="22" t="s">
        <v>85</v>
      </c>
      <c r="N3" s="22"/>
      <c r="O3" s="57"/>
      <c r="P3" s="73" t="s">
        <v>326</v>
      </c>
    </row>
    <row r="4" spans="1:16" ht="19.5" customHeight="1">
      <c r="A4" s="77"/>
      <c r="B4" s="45" t="s">
        <v>88</v>
      </c>
      <c r="C4" s="45" t="s">
        <v>383</v>
      </c>
      <c r="D4" s="45" t="s">
        <v>89</v>
      </c>
      <c r="E4" s="45" t="s">
        <v>89</v>
      </c>
      <c r="F4" s="22" t="s">
        <v>54</v>
      </c>
      <c r="G4" s="22" t="s">
        <v>385</v>
      </c>
      <c r="H4" s="22" t="s">
        <v>90</v>
      </c>
      <c r="I4" s="45" t="s">
        <v>55</v>
      </c>
      <c r="J4" s="45" t="s">
        <v>15</v>
      </c>
      <c r="K4" s="45" t="s">
        <v>91</v>
      </c>
      <c r="L4" s="22" t="s">
        <v>83</v>
      </c>
      <c r="M4" s="45" t="s">
        <v>92</v>
      </c>
      <c r="N4" s="45" t="s">
        <v>93</v>
      </c>
      <c r="O4" s="58" t="s">
        <v>94</v>
      </c>
      <c r="P4" s="109" t="s">
        <v>327</v>
      </c>
    </row>
    <row r="5" spans="1:16" ht="19.5" customHeight="1">
      <c r="A5" s="84" t="s">
        <v>386</v>
      </c>
      <c r="B5" s="25">
        <v>250</v>
      </c>
      <c r="C5" s="25">
        <v>142</v>
      </c>
      <c r="D5" s="25">
        <v>3.2</v>
      </c>
      <c r="E5" s="25">
        <f aca="true" t="shared" si="0" ref="E5:E39">C5*D5</f>
        <v>454.40000000000003</v>
      </c>
      <c r="F5" s="25">
        <v>2.5</v>
      </c>
      <c r="G5" s="25">
        <v>7</v>
      </c>
      <c r="H5" s="25">
        <f aca="true" t="shared" si="1" ref="H5:H39">C5*G5</f>
        <v>994</v>
      </c>
      <c r="I5" s="25">
        <v>24</v>
      </c>
      <c r="J5" s="79">
        <f>B5*E5*F5*100/(0.2*H5*I5*3600)</f>
        <v>1.6534391534391535</v>
      </c>
      <c r="K5" s="47">
        <f>0.00697+0.008*(J5-1.5)</f>
        <v>0.008197513227513227</v>
      </c>
      <c r="L5" s="48">
        <f aca="true" t="shared" si="2" ref="L5:L39">(1+K5*POWER(H5-1,0.49))/SQRT(H5)</f>
        <v>0.03936512637708095</v>
      </c>
      <c r="M5" s="46">
        <f aca="true" t="shared" si="3" ref="M5:M39">0.2*L5*H5*1.1</f>
        <v>8.608365836140063</v>
      </c>
      <c r="N5" s="25">
        <v>100</v>
      </c>
      <c r="O5" s="59">
        <v>1</v>
      </c>
      <c r="P5" s="103">
        <v>0.01529</v>
      </c>
    </row>
    <row r="6" spans="1:16" ht="19.5" customHeight="1" hidden="1">
      <c r="A6" s="78" t="s">
        <v>402</v>
      </c>
      <c r="B6" s="25">
        <v>250</v>
      </c>
      <c r="C6" s="25">
        <v>22</v>
      </c>
      <c r="D6" s="25">
        <v>3.2</v>
      </c>
      <c r="E6" s="25">
        <f>C6*D6</f>
        <v>70.4</v>
      </c>
      <c r="F6" s="25">
        <v>2.5</v>
      </c>
      <c r="G6" s="25">
        <v>7</v>
      </c>
      <c r="H6" s="25">
        <f>C6*G6</f>
        <v>154</v>
      </c>
      <c r="I6" s="25">
        <v>24</v>
      </c>
      <c r="J6" s="79">
        <f>B6*E6*F6*100/(0.2*H6*I6*3600)</f>
        <v>1.6534391534391535</v>
      </c>
      <c r="K6" s="47">
        <f>0.00697+0.008*(J6-1.5)</f>
        <v>0.008197513227513227</v>
      </c>
      <c r="L6" s="48">
        <f>(1+K6*POWER(H6-1,0.49))/SQRT(H6)</f>
        <v>0.08835228831579514</v>
      </c>
      <c r="M6" s="46">
        <f>0.2*L6*H6*1.1</f>
        <v>2.99337552813914</v>
      </c>
      <c r="N6" s="25">
        <v>65</v>
      </c>
      <c r="O6" s="59">
        <v>0.85</v>
      </c>
      <c r="P6" s="103"/>
    </row>
    <row r="7" spans="1:16" ht="19.5" customHeight="1" hidden="1">
      <c r="A7" s="78" t="s">
        <v>403</v>
      </c>
      <c r="B7" s="25">
        <v>250</v>
      </c>
      <c r="C7" s="25">
        <v>16</v>
      </c>
      <c r="D7" s="25">
        <v>3.2</v>
      </c>
      <c r="E7" s="25">
        <f>C7*D7</f>
        <v>51.2</v>
      </c>
      <c r="F7" s="25">
        <v>2.5</v>
      </c>
      <c r="G7" s="25">
        <v>7</v>
      </c>
      <c r="H7" s="25">
        <f>C7*G7</f>
        <v>112</v>
      </c>
      <c r="I7" s="25">
        <v>24</v>
      </c>
      <c r="J7" s="79">
        <f>B7*E7*F7*100/(0.2*H7*I7*3600)</f>
        <v>1.6534391534391535</v>
      </c>
      <c r="K7" s="47">
        <f>0.00697+0.008*(J7-1.5)</f>
        <v>0.008197513227513227</v>
      </c>
      <c r="L7" s="48">
        <f>(1+K7*POWER(H7-1,0.49))/SQRT(H7)</f>
        <v>0.10227652620515569</v>
      </c>
      <c r="M7" s="46">
        <f>0.2*L7*H7*1.1</f>
        <v>2.5200936056950365</v>
      </c>
      <c r="N7" s="25">
        <v>65</v>
      </c>
      <c r="O7" s="59">
        <v>0.85</v>
      </c>
      <c r="P7" s="103"/>
    </row>
    <row r="8" spans="1:16" ht="19.5" customHeight="1" hidden="1">
      <c r="A8" s="84"/>
      <c r="B8" s="25"/>
      <c r="C8" s="25"/>
      <c r="D8" s="25"/>
      <c r="E8" s="25"/>
      <c r="F8" s="25"/>
      <c r="G8" s="25"/>
      <c r="H8" s="25"/>
      <c r="I8" s="25"/>
      <c r="J8" s="79"/>
      <c r="K8" s="47"/>
      <c r="L8" s="48"/>
      <c r="M8" s="46"/>
      <c r="N8" s="25"/>
      <c r="O8" s="59"/>
      <c r="P8" s="103"/>
    </row>
    <row r="9" spans="1:16" ht="19.5" customHeight="1">
      <c r="A9" s="84" t="s">
        <v>387</v>
      </c>
      <c r="B9" s="25">
        <v>250</v>
      </c>
      <c r="C9" s="25">
        <v>192</v>
      </c>
      <c r="D9" s="25">
        <v>3.2</v>
      </c>
      <c r="E9" s="25">
        <f t="shared" si="0"/>
        <v>614.4000000000001</v>
      </c>
      <c r="F9" s="25">
        <v>2.5</v>
      </c>
      <c r="G9" s="25">
        <v>7</v>
      </c>
      <c r="H9" s="25">
        <f t="shared" si="1"/>
        <v>1344</v>
      </c>
      <c r="I9" s="25">
        <v>24</v>
      </c>
      <c r="J9" s="79">
        <f aca="true" t="shared" si="4" ref="J9:J39">B9*E9*F9*100/(0.2*H9*I9*3600)</f>
        <v>1.6534391534391535</v>
      </c>
      <c r="K9" s="47">
        <f aca="true" t="shared" si="5" ref="K9:K29">0.00697+0.008*(J9-1.5)</f>
        <v>0.008197513227513227</v>
      </c>
      <c r="L9" s="48">
        <f t="shared" si="2"/>
        <v>0.03490223434732467</v>
      </c>
      <c r="M9" s="46">
        <f t="shared" si="3"/>
        <v>10.31989265181696</v>
      </c>
      <c r="N9" s="25">
        <v>100</v>
      </c>
      <c r="O9" s="59">
        <v>1.2</v>
      </c>
      <c r="P9" s="103">
        <v>0.01529</v>
      </c>
    </row>
    <row r="10" spans="1:16" ht="19.5" customHeight="1" hidden="1">
      <c r="A10" s="78" t="s">
        <v>404</v>
      </c>
      <c r="B10" s="25">
        <v>250</v>
      </c>
      <c r="C10" s="25">
        <v>24</v>
      </c>
      <c r="D10" s="25">
        <v>3.2</v>
      </c>
      <c r="E10" s="25">
        <f t="shared" si="0"/>
        <v>76.80000000000001</v>
      </c>
      <c r="F10" s="25">
        <v>2.5</v>
      </c>
      <c r="G10" s="25">
        <v>7</v>
      </c>
      <c r="H10" s="25">
        <f t="shared" si="1"/>
        <v>168</v>
      </c>
      <c r="I10" s="25">
        <v>24</v>
      </c>
      <c r="J10" s="79">
        <f t="shared" si="4"/>
        <v>1.6534391534391535</v>
      </c>
      <c r="K10" s="47">
        <f t="shared" si="5"/>
        <v>0.008197513227513227</v>
      </c>
      <c r="L10" s="48">
        <f t="shared" si="2"/>
        <v>0.08491698065722399</v>
      </c>
      <c r="M10" s="46">
        <f t="shared" si="3"/>
        <v>3.1385316050909986</v>
      </c>
      <c r="N10" s="25">
        <v>65</v>
      </c>
      <c r="O10" s="59">
        <v>1</v>
      </c>
      <c r="P10" s="103"/>
    </row>
    <row r="11" spans="1:16" ht="19.5" customHeight="1" hidden="1">
      <c r="A11" s="78" t="s">
        <v>405</v>
      </c>
      <c r="B11" s="25">
        <v>250</v>
      </c>
      <c r="C11" s="25">
        <v>27</v>
      </c>
      <c r="D11" s="25">
        <v>3.2</v>
      </c>
      <c r="E11" s="25">
        <f>C11*D11</f>
        <v>86.4</v>
      </c>
      <c r="F11" s="25">
        <v>2.5</v>
      </c>
      <c r="G11" s="25">
        <v>7</v>
      </c>
      <c r="H11" s="25">
        <f>C11*G11</f>
        <v>189</v>
      </c>
      <c r="I11" s="25">
        <v>24</v>
      </c>
      <c r="J11" s="79">
        <f>B11*E11*F11*100/(0.2*H11*I11*3600)</f>
        <v>1.6534391534391535</v>
      </c>
      <c r="K11" s="47">
        <f t="shared" si="5"/>
        <v>0.008197513227513227</v>
      </c>
      <c r="L11" s="48">
        <f>(1+K11*POWER(H11-1,0.49))/SQRT(H11)</f>
        <v>0.08049798978739085</v>
      </c>
      <c r="M11" s="46">
        <f>0.2*L11*H11*1.1</f>
        <v>3.3471064153597117</v>
      </c>
      <c r="N11" s="25">
        <v>65</v>
      </c>
      <c r="O11" s="59">
        <v>1</v>
      </c>
      <c r="P11" s="103"/>
    </row>
    <row r="12" spans="1:16" ht="19.5" customHeight="1" hidden="1">
      <c r="A12" s="78" t="s">
        <v>406</v>
      </c>
      <c r="B12" s="25">
        <v>250</v>
      </c>
      <c r="C12" s="25">
        <v>28</v>
      </c>
      <c r="D12" s="25">
        <v>3.2</v>
      </c>
      <c r="E12" s="25">
        <f>C12*D12</f>
        <v>89.60000000000001</v>
      </c>
      <c r="F12" s="25">
        <v>2.5</v>
      </c>
      <c r="G12" s="25">
        <v>7</v>
      </c>
      <c r="H12" s="25">
        <f>C12*G12</f>
        <v>196</v>
      </c>
      <c r="I12" s="25">
        <v>24</v>
      </c>
      <c r="J12" s="79">
        <f>B12*E12*F12*100/(0.2*H12*I12*3600)</f>
        <v>1.6534391534391535</v>
      </c>
      <c r="K12" s="47">
        <f t="shared" si="5"/>
        <v>0.008197513227513227</v>
      </c>
      <c r="L12" s="48">
        <f>(1+K12*POWER(H12-1,0.49))/SQRT(H12)</f>
        <v>0.07918516525096715</v>
      </c>
      <c r="M12" s="46">
        <f>0.2*L12*H12*1.1</f>
        <v>3.4144643256217035</v>
      </c>
      <c r="N12" s="25">
        <v>65</v>
      </c>
      <c r="O12" s="59">
        <v>1</v>
      </c>
      <c r="P12" s="103"/>
    </row>
    <row r="13" spans="1:16" ht="19.5" customHeight="1" hidden="1">
      <c r="A13" s="78" t="s">
        <v>407</v>
      </c>
      <c r="B13" s="25">
        <v>250</v>
      </c>
      <c r="C13" s="25">
        <v>34</v>
      </c>
      <c r="D13" s="25">
        <v>3.2</v>
      </c>
      <c r="E13" s="25">
        <f>C13*D13</f>
        <v>108.80000000000001</v>
      </c>
      <c r="F13" s="25">
        <v>2.5</v>
      </c>
      <c r="G13" s="25">
        <v>7</v>
      </c>
      <c r="H13" s="25">
        <f>C13*G13</f>
        <v>238</v>
      </c>
      <c r="I13" s="25">
        <v>24</v>
      </c>
      <c r="J13" s="79">
        <f>B13*E13*F13*100/(0.2*H13*I13*3600)</f>
        <v>1.6534391534391537</v>
      </c>
      <c r="K13" s="47">
        <f t="shared" si="5"/>
        <v>0.008197513227513229</v>
      </c>
      <c r="L13" s="48">
        <f>(1+K13*POWER(H13-1,0.49))/SQRT(H13)</f>
        <v>0.07256535300660673</v>
      </c>
      <c r="M13" s="46">
        <f>0.2*L13*H13*1.1</f>
        <v>3.799521883425929</v>
      </c>
      <c r="N13" s="25">
        <v>65</v>
      </c>
      <c r="O13" s="59">
        <v>1</v>
      </c>
      <c r="P13" s="103"/>
    </row>
    <row r="14" spans="1:16" ht="19.5" customHeight="1" hidden="1">
      <c r="A14" s="84"/>
      <c r="B14" s="25"/>
      <c r="C14" s="25"/>
      <c r="D14" s="25"/>
      <c r="E14" s="25"/>
      <c r="F14" s="25"/>
      <c r="G14" s="25"/>
      <c r="H14" s="25"/>
      <c r="I14" s="25"/>
      <c r="J14" s="79"/>
      <c r="K14" s="47"/>
      <c r="L14" s="48"/>
      <c r="M14" s="46"/>
      <c r="N14" s="25"/>
      <c r="O14" s="59"/>
      <c r="P14" s="103"/>
    </row>
    <row r="15" spans="1:16" ht="19.5" customHeight="1">
      <c r="A15" s="84" t="s">
        <v>388</v>
      </c>
      <c r="B15" s="25">
        <v>250</v>
      </c>
      <c r="C15" s="25">
        <v>114</v>
      </c>
      <c r="D15" s="25">
        <v>3.2</v>
      </c>
      <c r="E15" s="25">
        <f t="shared" si="0"/>
        <v>364.8</v>
      </c>
      <c r="F15" s="25">
        <v>2.5</v>
      </c>
      <c r="G15" s="25">
        <v>7</v>
      </c>
      <c r="H15" s="25">
        <f t="shared" si="1"/>
        <v>798</v>
      </c>
      <c r="I15" s="25">
        <v>24</v>
      </c>
      <c r="J15" s="79">
        <f t="shared" si="4"/>
        <v>1.6534391534391533</v>
      </c>
      <c r="K15" s="47">
        <f t="shared" si="5"/>
        <v>0.008197513227513225</v>
      </c>
      <c r="L15" s="48">
        <f t="shared" si="2"/>
        <v>0.04306255332073632</v>
      </c>
      <c r="M15" s="46">
        <f t="shared" si="3"/>
        <v>7.56006186098847</v>
      </c>
      <c r="N15" s="25">
        <v>100</v>
      </c>
      <c r="O15" s="59">
        <v>0.88</v>
      </c>
      <c r="P15" s="103">
        <v>0.01529</v>
      </c>
    </row>
    <row r="16" spans="1:16" ht="19.5" customHeight="1" hidden="1">
      <c r="A16" s="78" t="s">
        <v>408</v>
      </c>
      <c r="B16" s="25">
        <v>250</v>
      </c>
      <c r="C16" s="25">
        <v>12</v>
      </c>
      <c r="D16" s="25">
        <v>3.2</v>
      </c>
      <c r="E16" s="25">
        <f>C16*D16</f>
        <v>38.400000000000006</v>
      </c>
      <c r="F16" s="25">
        <v>2.5</v>
      </c>
      <c r="G16" s="25">
        <v>9.3</v>
      </c>
      <c r="H16" s="25">
        <f>C16*G16</f>
        <v>111.60000000000001</v>
      </c>
      <c r="I16" s="25">
        <v>24</v>
      </c>
      <c r="J16" s="79">
        <f>B16*E16*F16*100/(0.2*H16*I16*3600)</f>
        <v>1.2445240939864597</v>
      </c>
      <c r="K16" s="47">
        <f>0.00323+0.00748*(J16-1)</f>
        <v>0.005059040223018718</v>
      </c>
      <c r="L16" s="48">
        <f>(1+K16*POWER(H16-1,0.49))/SQRT(H16)</f>
        <v>0.09946511381112397</v>
      </c>
      <c r="M16" s="46">
        <f>0.2*L16*H16*1.1</f>
        <v>2.4420674742907162</v>
      </c>
      <c r="N16" s="25">
        <v>50</v>
      </c>
      <c r="O16" s="59">
        <v>1.15</v>
      </c>
      <c r="P16" s="103"/>
    </row>
    <row r="17" spans="1:16" ht="19.5" customHeight="1" hidden="1">
      <c r="A17" s="78" t="s">
        <v>409</v>
      </c>
      <c r="B17" s="25">
        <v>250</v>
      </c>
      <c r="C17" s="25">
        <v>30</v>
      </c>
      <c r="D17" s="25">
        <v>3.2</v>
      </c>
      <c r="E17" s="25">
        <f>C17*D17</f>
        <v>96</v>
      </c>
      <c r="F17" s="25">
        <v>2.5</v>
      </c>
      <c r="G17" s="25">
        <v>7</v>
      </c>
      <c r="H17" s="25">
        <f>C17*G17</f>
        <v>210</v>
      </c>
      <c r="I17" s="25">
        <v>24</v>
      </c>
      <c r="J17" s="79">
        <f>B17*E17*F17*100/(0.2*H17*I17*3600)</f>
        <v>1.6534391534391535</v>
      </c>
      <c r="K17" s="47">
        <f t="shared" si="5"/>
        <v>0.008197513227513227</v>
      </c>
      <c r="L17" s="48">
        <f>(1+K17*POWER(H17-1,0.49))/SQRT(H17)</f>
        <v>0.07675909849131524</v>
      </c>
      <c r="M17" s="46">
        <f>0.2*L17*H17*1.1</f>
        <v>3.546270350298764</v>
      </c>
      <c r="N17" s="25">
        <v>65</v>
      </c>
      <c r="O17" s="59">
        <v>1</v>
      </c>
      <c r="P17" s="103"/>
    </row>
    <row r="18" spans="1:16" ht="19.5" customHeight="1" hidden="1">
      <c r="A18" s="84"/>
      <c r="B18" s="25"/>
      <c r="C18" s="25"/>
      <c r="D18" s="25"/>
      <c r="E18" s="25"/>
      <c r="F18" s="25"/>
      <c r="G18" s="25"/>
      <c r="H18" s="25"/>
      <c r="I18" s="25"/>
      <c r="J18" s="79"/>
      <c r="K18" s="47"/>
      <c r="L18" s="48"/>
      <c r="M18" s="46"/>
      <c r="N18" s="25"/>
      <c r="O18" s="59"/>
      <c r="P18" s="103"/>
    </row>
    <row r="19" spans="1:16" ht="19.5" customHeight="1">
      <c r="A19" s="84" t="s">
        <v>393</v>
      </c>
      <c r="B19" s="25">
        <v>250</v>
      </c>
      <c r="C19" s="25">
        <v>192</v>
      </c>
      <c r="D19" s="25">
        <v>3.2</v>
      </c>
      <c r="E19" s="25">
        <f t="shared" si="0"/>
        <v>614.4000000000001</v>
      </c>
      <c r="F19" s="25">
        <v>2.5</v>
      </c>
      <c r="G19" s="25">
        <v>7</v>
      </c>
      <c r="H19" s="25">
        <f t="shared" si="1"/>
        <v>1344</v>
      </c>
      <c r="I19" s="25">
        <v>24</v>
      </c>
      <c r="J19" s="79">
        <f t="shared" si="4"/>
        <v>1.6534391534391535</v>
      </c>
      <c r="K19" s="47">
        <f t="shared" si="5"/>
        <v>0.008197513227513227</v>
      </c>
      <c r="L19" s="48">
        <f t="shared" si="2"/>
        <v>0.03490223434732467</v>
      </c>
      <c r="M19" s="46">
        <f t="shared" si="3"/>
        <v>10.31989265181696</v>
      </c>
      <c r="N19" s="25">
        <v>100</v>
      </c>
      <c r="O19" s="59">
        <v>1.2</v>
      </c>
      <c r="P19" s="103">
        <v>0.01529</v>
      </c>
    </row>
    <row r="20" spans="1:16" ht="19.5" customHeight="1" hidden="1">
      <c r="A20" s="78" t="s">
        <v>411</v>
      </c>
      <c r="B20" s="25">
        <v>250</v>
      </c>
      <c r="C20" s="25">
        <v>64</v>
      </c>
      <c r="D20" s="25">
        <v>3.2</v>
      </c>
      <c r="E20" s="25">
        <f>C20*D20</f>
        <v>204.8</v>
      </c>
      <c r="F20" s="25">
        <v>2.5</v>
      </c>
      <c r="G20" s="25">
        <v>7</v>
      </c>
      <c r="H20" s="25">
        <f>C20*G20</f>
        <v>448</v>
      </c>
      <c r="I20" s="25">
        <v>24</v>
      </c>
      <c r="J20" s="79">
        <f>B20*E20*F20*100/(0.2*H20*I20*3600)</f>
        <v>1.6534391534391535</v>
      </c>
      <c r="K20" s="47">
        <f t="shared" si="5"/>
        <v>0.008197513227513227</v>
      </c>
      <c r="L20" s="48">
        <f>(1+K20*POWER(H20-1,0.49))/SQRT(H20)</f>
        <v>0.05494916056228886</v>
      </c>
      <c r="M20" s="46">
        <f>0.2*L20*H20*1.1</f>
        <v>5.415789265019191</v>
      </c>
      <c r="N20" s="25">
        <v>80</v>
      </c>
      <c r="O20" s="59">
        <v>1.1</v>
      </c>
      <c r="P20" s="103"/>
    </row>
    <row r="21" spans="1:16" ht="19.5" customHeight="1" hidden="1">
      <c r="A21" s="78" t="s">
        <v>412</v>
      </c>
      <c r="B21" s="25">
        <v>250</v>
      </c>
      <c r="C21" s="25">
        <v>30</v>
      </c>
      <c r="D21" s="25">
        <v>3.2</v>
      </c>
      <c r="E21" s="25">
        <f t="shared" si="0"/>
        <v>96</v>
      </c>
      <c r="F21" s="25">
        <v>2.5</v>
      </c>
      <c r="G21" s="25">
        <v>7</v>
      </c>
      <c r="H21" s="25">
        <f t="shared" si="1"/>
        <v>210</v>
      </c>
      <c r="I21" s="25">
        <v>24</v>
      </c>
      <c r="J21" s="79">
        <f t="shared" si="4"/>
        <v>1.6534391534391535</v>
      </c>
      <c r="K21" s="47">
        <f t="shared" si="5"/>
        <v>0.008197513227513227</v>
      </c>
      <c r="L21" s="48">
        <f t="shared" si="2"/>
        <v>0.07675909849131524</v>
      </c>
      <c r="M21" s="46">
        <f t="shared" si="3"/>
        <v>3.546270350298764</v>
      </c>
      <c r="N21" s="25">
        <v>65</v>
      </c>
      <c r="O21" s="59">
        <v>1</v>
      </c>
      <c r="P21" s="103"/>
    </row>
    <row r="22" spans="1:16" ht="19.5" customHeight="1" hidden="1">
      <c r="A22" s="78" t="s">
        <v>413</v>
      </c>
      <c r="B22" s="25">
        <v>250</v>
      </c>
      <c r="C22" s="25">
        <v>34</v>
      </c>
      <c r="D22" s="25">
        <v>3.2</v>
      </c>
      <c r="E22" s="25">
        <f>C22*D22</f>
        <v>108.80000000000001</v>
      </c>
      <c r="F22" s="25">
        <v>2.5</v>
      </c>
      <c r="G22" s="25">
        <v>7</v>
      </c>
      <c r="H22" s="25">
        <f>C22*G22</f>
        <v>238</v>
      </c>
      <c r="I22" s="25">
        <v>24</v>
      </c>
      <c r="J22" s="79">
        <f>B22*E22*F22*100/(0.2*H22*I22*3600)</f>
        <v>1.6534391534391537</v>
      </c>
      <c r="K22" s="47">
        <f t="shared" si="5"/>
        <v>0.008197513227513229</v>
      </c>
      <c r="L22" s="48">
        <f>(1+K22*POWER(H22-1,0.49))/SQRT(H22)</f>
        <v>0.07256535300660673</v>
      </c>
      <c r="M22" s="46">
        <f>0.2*L22*H22*1.1</f>
        <v>3.799521883425929</v>
      </c>
      <c r="N22" s="25">
        <v>65</v>
      </c>
      <c r="O22" s="59">
        <v>1.08</v>
      </c>
      <c r="P22" s="103"/>
    </row>
    <row r="23" spans="1:16" ht="19.5" customHeight="1" hidden="1">
      <c r="A23" s="84"/>
      <c r="B23" s="25"/>
      <c r="C23" s="25"/>
      <c r="D23" s="25"/>
      <c r="E23" s="25"/>
      <c r="F23" s="25"/>
      <c r="G23" s="25"/>
      <c r="H23" s="25"/>
      <c r="I23" s="25"/>
      <c r="J23" s="79"/>
      <c r="K23" s="47"/>
      <c r="L23" s="48"/>
      <c r="M23" s="46"/>
      <c r="N23" s="25"/>
      <c r="O23" s="59"/>
      <c r="P23" s="103"/>
    </row>
    <row r="24" spans="1:16" ht="19.5" customHeight="1">
      <c r="A24" s="84" t="s">
        <v>394</v>
      </c>
      <c r="B24" s="25">
        <v>250</v>
      </c>
      <c r="C24" s="25">
        <v>228</v>
      </c>
      <c r="D24" s="25">
        <v>3.2</v>
      </c>
      <c r="E24" s="25">
        <f t="shared" si="0"/>
        <v>729.6</v>
      </c>
      <c r="F24" s="25">
        <v>2.5</v>
      </c>
      <c r="G24" s="25">
        <v>7</v>
      </c>
      <c r="H24" s="25">
        <f t="shared" si="1"/>
        <v>1596</v>
      </c>
      <c r="I24" s="25">
        <v>24</v>
      </c>
      <c r="J24" s="79">
        <f t="shared" si="4"/>
        <v>1.6534391534391533</v>
      </c>
      <c r="K24" s="47">
        <f t="shared" si="5"/>
        <v>0.008197513227513225</v>
      </c>
      <c r="L24" s="48">
        <f t="shared" si="2"/>
        <v>0.03264365295645449</v>
      </c>
      <c r="M24" s="46">
        <f t="shared" si="3"/>
        <v>11.4618394260703</v>
      </c>
      <c r="N24" s="25">
        <v>100</v>
      </c>
      <c r="O24" s="59">
        <v>1.33</v>
      </c>
      <c r="P24" s="103">
        <v>0.01529</v>
      </c>
    </row>
    <row r="25" spans="1:16" ht="19.5" customHeight="1" hidden="1">
      <c r="A25" s="78" t="s">
        <v>410</v>
      </c>
      <c r="B25" s="25">
        <v>250</v>
      </c>
      <c r="C25" s="25">
        <v>76</v>
      </c>
      <c r="D25" s="25">
        <v>3.2</v>
      </c>
      <c r="E25" s="25">
        <f t="shared" si="0"/>
        <v>243.20000000000002</v>
      </c>
      <c r="F25" s="25">
        <v>2.5</v>
      </c>
      <c r="G25" s="25">
        <v>7</v>
      </c>
      <c r="H25" s="25">
        <f t="shared" si="1"/>
        <v>532</v>
      </c>
      <c r="I25" s="25">
        <v>24</v>
      </c>
      <c r="J25" s="79">
        <f t="shared" si="4"/>
        <v>1.6534391534391535</v>
      </c>
      <c r="K25" s="47">
        <f t="shared" si="5"/>
        <v>0.008197513227513227</v>
      </c>
      <c r="L25" s="48">
        <f t="shared" si="2"/>
        <v>0.05104720358096226</v>
      </c>
      <c r="M25" s="46">
        <f t="shared" si="3"/>
        <v>5.9745647071158245</v>
      </c>
      <c r="N25" s="25">
        <v>80</v>
      </c>
      <c r="O25" s="59">
        <v>1.2</v>
      </c>
      <c r="P25" s="103"/>
    </row>
    <row r="26" spans="1:16" ht="19.5" customHeight="1" hidden="1">
      <c r="A26" s="78" t="s">
        <v>414</v>
      </c>
      <c r="B26" s="25">
        <v>250</v>
      </c>
      <c r="C26" s="25">
        <v>42</v>
      </c>
      <c r="D26" s="25">
        <v>3.2</v>
      </c>
      <c r="E26" s="25">
        <f>C26*D26</f>
        <v>134.4</v>
      </c>
      <c r="F26" s="25">
        <v>2.5</v>
      </c>
      <c r="G26" s="25">
        <v>7</v>
      </c>
      <c r="H26" s="25">
        <f>C26*G26</f>
        <v>294</v>
      </c>
      <c r="I26" s="25">
        <v>24</v>
      </c>
      <c r="J26" s="79">
        <f>B26*E26*F26*100/(0.2*H26*I26*3600)</f>
        <v>1.6534391534391535</v>
      </c>
      <c r="K26" s="47">
        <f t="shared" si="5"/>
        <v>0.008197513227513227</v>
      </c>
      <c r="L26" s="48">
        <f>(1+K26*POWER(H26-1,0.49))/SQRT(H26)</f>
        <v>0.06605285943497374</v>
      </c>
      <c r="M26" s="46">
        <f>0.2*L26*H26*1.1</f>
        <v>4.272298948254102</v>
      </c>
      <c r="N26" s="25">
        <v>80</v>
      </c>
      <c r="O26" s="59">
        <v>1.22</v>
      </c>
      <c r="P26" s="103"/>
    </row>
    <row r="27" spans="1:16" ht="19.5" customHeight="1" hidden="1">
      <c r="A27" s="78" t="s">
        <v>415</v>
      </c>
      <c r="B27" s="25">
        <v>250</v>
      </c>
      <c r="C27" s="25">
        <v>34</v>
      </c>
      <c r="D27" s="25">
        <v>3.2</v>
      </c>
      <c r="E27" s="25">
        <f>C27*D27</f>
        <v>108.80000000000001</v>
      </c>
      <c r="F27" s="25">
        <v>2.5</v>
      </c>
      <c r="G27" s="25">
        <v>7</v>
      </c>
      <c r="H27" s="25">
        <f>C27*G27</f>
        <v>238</v>
      </c>
      <c r="I27" s="25">
        <v>24</v>
      </c>
      <c r="J27" s="79">
        <f>B27*E27*F27*100/(0.2*H27*I27*3600)</f>
        <v>1.6534391534391537</v>
      </c>
      <c r="K27" s="47">
        <f t="shared" si="5"/>
        <v>0.008197513227513229</v>
      </c>
      <c r="L27" s="48">
        <f>(1+K27*POWER(H27-1,0.49))/SQRT(H27)</f>
        <v>0.07256535300660673</v>
      </c>
      <c r="M27" s="46">
        <f>0.2*L27*H27*1.1</f>
        <v>3.799521883425929</v>
      </c>
      <c r="N27" s="25">
        <v>80</v>
      </c>
      <c r="O27" s="59">
        <v>1.08</v>
      </c>
      <c r="P27" s="103"/>
    </row>
    <row r="28" spans="1:16" ht="19.5" customHeight="1" hidden="1">
      <c r="A28" s="84"/>
      <c r="B28" s="25"/>
      <c r="C28" s="25"/>
      <c r="D28" s="25"/>
      <c r="E28" s="25"/>
      <c r="F28" s="25"/>
      <c r="G28" s="25"/>
      <c r="H28" s="25"/>
      <c r="I28" s="25"/>
      <c r="J28" s="79"/>
      <c r="K28" s="47"/>
      <c r="L28" s="48"/>
      <c r="M28" s="46"/>
      <c r="N28" s="25"/>
      <c r="O28" s="59"/>
      <c r="P28" s="103"/>
    </row>
    <row r="29" spans="1:16" ht="19.5" customHeight="1">
      <c r="A29" s="78" t="s">
        <v>392</v>
      </c>
      <c r="B29" s="25">
        <v>250</v>
      </c>
      <c r="C29" s="25">
        <v>162</v>
      </c>
      <c r="D29" s="25">
        <v>3.2</v>
      </c>
      <c r="E29" s="25">
        <f>C29*D29</f>
        <v>518.4</v>
      </c>
      <c r="F29" s="25">
        <v>2.5</v>
      </c>
      <c r="G29" s="25">
        <v>7</v>
      </c>
      <c r="H29" s="25">
        <f>C29*G29</f>
        <v>1134</v>
      </c>
      <c r="I29" s="25">
        <v>24</v>
      </c>
      <c r="J29" s="79">
        <f>B29*E29*F29*100/(0.2*H29*I29*3600)</f>
        <v>1.653439153439153</v>
      </c>
      <c r="K29" s="47">
        <f t="shared" si="5"/>
        <v>0.008197513227513224</v>
      </c>
      <c r="L29" s="48">
        <f>(1+K29*POWER(H29-1,0.49))/SQRT(H29)</f>
        <v>0.03733314134064231</v>
      </c>
      <c r="M29" s="46">
        <f>0.2*L29*H29*1.1</f>
        <v>9.313872101663447</v>
      </c>
      <c r="N29" s="25">
        <v>100</v>
      </c>
      <c r="O29" s="59">
        <v>1.07</v>
      </c>
      <c r="P29" s="103"/>
    </row>
    <row r="30" spans="1:16" ht="19.5" customHeight="1">
      <c r="A30" s="78" t="s">
        <v>389</v>
      </c>
      <c r="B30" s="25">
        <v>250</v>
      </c>
      <c r="C30" s="25">
        <v>38</v>
      </c>
      <c r="D30" s="25">
        <v>3.2</v>
      </c>
      <c r="E30" s="25">
        <f t="shared" si="0"/>
        <v>121.60000000000001</v>
      </c>
      <c r="F30" s="25">
        <v>2.5</v>
      </c>
      <c r="G30" s="25">
        <v>9.3</v>
      </c>
      <c r="H30" s="25">
        <f t="shared" si="1"/>
        <v>353.40000000000003</v>
      </c>
      <c r="I30" s="25">
        <v>24</v>
      </c>
      <c r="J30" s="79">
        <f t="shared" si="4"/>
        <v>1.2445240939864597</v>
      </c>
      <c r="K30" s="47">
        <f>0.00323+0.00748*(J30-1)</f>
        <v>0.005059040223018718</v>
      </c>
      <c r="L30" s="48">
        <f t="shared" si="2"/>
        <v>0.05795861689928165</v>
      </c>
      <c r="M30" s="46">
        <f t="shared" si="3"/>
        <v>4.506166546685351</v>
      </c>
      <c r="N30" s="25">
        <v>80</v>
      </c>
      <c r="O30" s="59">
        <v>0.83</v>
      </c>
      <c r="P30" s="103">
        <v>0.01529</v>
      </c>
    </row>
    <row r="31" spans="1:16" ht="19.5" customHeight="1">
      <c r="A31" s="78" t="s">
        <v>390</v>
      </c>
      <c r="B31" s="25">
        <v>250</v>
      </c>
      <c r="C31" s="25">
        <v>50</v>
      </c>
      <c r="D31" s="25">
        <v>3.2</v>
      </c>
      <c r="E31" s="25">
        <f t="shared" si="0"/>
        <v>160</v>
      </c>
      <c r="F31" s="25">
        <v>2.5</v>
      </c>
      <c r="G31" s="25">
        <v>9.3</v>
      </c>
      <c r="H31" s="25">
        <f t="shared" si="1"/>
        <v>465.00000000000006</v>
      </c>
      <c r="I31" s="25">
        <v>24</v>
      </c>
      <c r="J31" s="79">
        <f t="shared" si="4"/>
        <v>1.2445240939864592</v>
      </c>
      <c r="K31" s="47">
        <f>0.00323+0.00748*(J31-1)</f>
        <v>0.005059040223018715</v>
      </c>
      <c r="L31" s="48">
        <f t="shared" si="2"/>
        <v>0.051126535567832566</v>
      </c>
      <c r="M31" s="46">
        <f t="shared" si="3"/>
        <v>5.230244588589272</v>
      </c>
      <c r="N31" s="25">
        <v>80</v>
      </c>
      <c r="O31" s="59">
        <v>0.95</v>
      </c>
      <c r="P31" s="103">
        <v>0.01529</v>
      </c>
    </row>
    <row r="32" spans="1:16" ht="19.5" customHeight="1" thickBot="1">
      <c r="A32" s="78" t="s">
        <v>391</v>
      </c>
      <c r="B32" s="25">
        <v>250</v>
      </c>
      <c r="C32" s="25">
        <v>74</v>
      </c>
      <c r="D32" s="25">
        <v>3.2</v>
      </c>
      <c r="E32" s="25">
        <f t="shared" si="0"/>
        <v>236.8</v>
      </c>
      <c r="F32" s="25">
        <v>2.5</v>
      </c>
      <c r="G32" s="25">
        <v>9.3</v>
      </c>
      <c r="H32" s="25">
        <f t="shared" si="1"/>
        <v>688.2</v>
      </c>
      <c r="I32" s="25">
        <v>24</v>
      </c>
      <c r="J32" s="79">
        <f t="shared" si="4"/>
        <v>1.2445240939864595</v>
      </c>
      <c r="K32" s="47">
        <f>0.00323+0.00748*(J32-1)</f>
        <v>0.005059040223018716</v>
      </c>
      <c r="L32" s="48">
        <f t="shared" si="2"/>
        <v>0.0428547736257049</v>
      </c>
      <c r="M32" s="46">
        <f t="shared" si="3"/>
        <v>6.488384146026227</v>
      </c>
      <c r="N32" s="25">
        <v>80</v>
      </c>
      <c r="O32" s="59">
        <v>1.19</v>
      </c>
      <c r="P32" s="104">
        <v>0.02748</v>
      </c>
    </row>
    <row r="33" spans="1:16" ht="19.5" customHeight="1">
      <c r="A33" s="78" t="s">
        <v>395</v>
      </c>
      <c r="B33" s="25">
        <v>250</v>
      </c>
      <c r="C33" s="25">
        <v>20</v>
      </c>
      <c r="D33" s="25">
        <v>3.2</v>
      </c>
      <c r="E33" s="25">
        <f t="shared" si="0"/>
        <v>64</v>
      </c>
      <c r="F33" s="25">
        <v>2.5</v>
      </c>
      <c r="G33" s="25">
        <v>9.3</v>
      </c>
      <c r="H33" s="25">
        <f t="shared" si="1"/>
        <v>186</v>
      </c>
      <c r="I33" s="25">
        <v>24</v>
      </c>
      <c r="J33" s="79">
        <f t="shared" si="4"/>
        <v>1.2445240939864595</v>
      </c>
      <c r="K33" s="47">
        <f>0.00323+0.00748*(J33-1)</f>
        <v>0.005059040223018716</v>
      </c>
      <c r="L33" s="48">
        <f t="shared" si="2"/>
        <v>0.07811234767151369</v>
      </c>
      <c r="M33" s="46">
        <f t="shared" si="3"/>
        <v>3.1963572667183406</v>
      </c>
      <c r="N33" s="25">
        <v>65</v>
      </c>
      <c r="O33" s="59">
        <v>0.91</v>
      </c>
      <c r="P33" s="103">
        <v>0.01529</v>
      </c>
    </row>
    <row r="34" spans="1:16" ht="19.5" customHeight="1">
      <c r="A34" s="78" t="s">
        <v>396</v>
      </c>
      <c r="B34" s="25">
        <v>250</v>
      </c>
      <c r="C34" s="25">
        <v>18</v>
      </c>
      <c r="D34" s="25">
        <v>3.2</v>
      </c>
      <c r="E34" s="25">
        <f t="shared" si="0"/>
        <v>57.6</v>
      </c>
      <c r="F34" s="25">
        <v>2.5</v>
      </c>
      <c r="G34" s="25">
        <v>9.3</v>
      </c>
      <c r="H34" s="25">
        <f t="shared" si="1"/>
        <v>167.4</v>
      </c>
      <c r="I34" s="25">
        <v>24</v>
      </c>
      <c r="J34" s="79">
        <f t="shared" si="4"/>
        <v>1.2445240939864595</v>
      </c>
      <c r="K34" s="47">
        <f aca="true" t="shared" si="6" ref="K34:K39">0.00323+0.00748*(J34-1)</f>
        <v>0.005059040223018716</v>
      </c>
      <c r="L34" s="48">
        <f t="shared" si="2"/>
        <v>0.08208224325838809</v>
      </c>
      <c r="M34" s="46">
        <f t="shared" si="3"/>
        <v>3.0229248547199172</v>
      </c>
      <c r="N34" s="25">
        <v>65</v>
      </c>
      <c r="O34" s="59">
        <v>0.88</v>
      </c>
      <c r="P34" s="103">
        <v>0.01529</v>
      </c>
    </row>
    <row r="35" spans="1:16" ht="19.5" customHeight="1">
      <c r="A35" s="78" t="s">
        <v>397</v>
      </c>
      <c r="B35" s="25">
        <v>250</v>
      </c>
      <c r="C35" s="25">
        <v>32</v>
      </c>
      <c r="D35" s="25">
        <v>3.2</v>
      </c>
      <c r="E35" s="25">
        <f t="shared" si="0"/>
        <v>102.4</v>
      </c>
      <c r="F35" s="25">
        <v>2.5</v>
      </c>
      <c r="G35" s="25">
        <v>9.3</v>
      </c>
      <c r="H35" s="25">
        <f t="shared" si="1"/>
        <v>297.6</v>
      </c>
      <c r="I35" s="25">
        <v>24</v>
      </c>
      <c r="J35" s="79">
        <f t="shared" si="4"/>
        <v>1.2445240939864592</v>
      </c>
      <c r="K35" s="47">
        <f t="shared" si="6"/>
        <v>0.005059040223018715</v>
      </c>
      <c r="L35" s="48">
        <f t="shared" si="2"/>
        <v>0.06273842913951409</v>
      </c>
      <c r="M35" s="46">
        <f t="shared" si="3"/>
        <v>4.107610432622268</v>
      </c>
      <c r="N35" s="25">
        <v>65</v>
      </c>
      <c r="O35" s="59">
        <v>1.16</v>
      </c>
      <c r="P35" s="103">
        <v>0.01529</v>
      </c>
    </row>
    <row r="36" spans="1:16" ht="19.5" customHeight="1">
      <c r="A36" s="78" t="s">
        <v>398</v>
      </c>
      <c r="B36" s="25">
        <v>250</v>
      </c>
      <c r="C36" s="25">
        <v>18</v>
      </c>
      <c r="D36" s="25">
        <v>3.2</v>
      </c>
      <c r="E36" s="25">
        <f t="shared" si="0"/>
        <v>57.6</v>
      </c>
      <c r="F36" s="25">
        <v>2.5</v>
      </c>
      <c r="G36" s="25">
        <v>9.3</v>
      </c>
      <c r="H36" s="25">
        <f t="shared" si="1"/>
        <v>167.4</v>
      </c>
      <c r="I36" s="25">
        <v>24</v>
      </c>
      <c r="J36" s="79">
        <f t="shared" si="4"/>
        <v>1.2445240939864595</v>
      </c>
      <c r="K36" s="47">
        <f t="shared" si="6"/>
        <v>0.005059040223018716</v>
      </c>
      <c r="L36" s="48">
        <f t="shared" si="2"/>
        <v>0.08208224325838809</v>
      </c>
      <c r="M36" s="46">
        <f t="shared" si="3"/>
        <v>3.0229248547199172</v>
      </c>
      <c r="N36" s="25">
        <v>65</v>
      </c>
      <c r="O36" s="59">
        <v>0.88</v>
      </c>
      <c r="P36" s="103">
        <v>0.01529</v>
      </c>
    </row>
    <row r="37" spans="1:16" ht="19.5" customHeight="1" thickBot="1">
      <c r="A37" s="78" t="s">
        <v>399</v>
      </c>
      <c r="B37" s="25">
        <v>250</v>
      </c>
      <c r="C37" s="25">
        <v>24</v>
      </c>
      <c r="D37" s="25">
        <v>3.2</v>
      </c>
      <c r="E37" s="25">
        <f t="shared" si="0"/>
        <v>76.80000000000001</v>
      </c>
      <c r="F37" s="25">
        <v>2.5</v>
      </c>
      <c r="G37" s="25">
        <v>9.3</v>
      </c>
      <c r="H37" s="25">
        <f t="shared" si="1"/>
        <v>223.20000000000002</v>
      </c>
      <c r="I37" s="25">
        <v>24</v>
      </c>
      <c r="J37" s="79">
        <f t="shared" si="4"/>
        <v>1.2445240939864597</v>
      </c>
      <c r="K37" s="47">
        <f t="shared" si="6"/>
        <v>0.005059040223018718</v>
      </c>
      <c r="L37" s="48">
        <f t="shared" si="2"/>
        <v>0.07171712082886356</v>
      </c>
      <c r="M37" s="46">
        <f t="shared" si="3"/>
        <v>3.521597501180517</v>
      </c>
      <c r="N37" s="25">
        <v>65</v>
      </c>
      <c r="O37" s="59">
        <v>1.02</v>
      </c>
      <c r="P37" s="104">
        <v>0.02748</v>
      </c>
    </row>
    <row r="38" spans="1:16" ht="19.5" customHeight="1" thickBot="1">
      <c r="A38" s="78" t="s">
        <v>400</v>
      </c>
      <c r="B38" s="25">
        <v>250</v>
      </c>
      <c r="C38" s="25">
        <v>36</v>
      </c>
      <c r="D38" s="25">
        <v>3.2</v>
      </c>
      <c r="E38" s="25">
        <f t="shared" si="0"/>
        <v>115.2</v>
      </c>
      <c r="F38" s="25">
        <v>2.5</v>
      </c>
      <c r="G38" s="25">
        <v>9.3</v>
      </c>
      <c r="H38" s="25">
        <f t="shared" si="1"/>
        <v>334.8</v>
      </c>
      <c r="I38" s="25">
        <v>24</v>
      </c>
      <c r="J38" s="79">
        <f t="shared" si="4"/>
        <v>1.2445240939864595</v>
      </c>
      <c r="K38" s="47">
        <f t="shared" si="6"/>
        <v>0.005059040223018716</v>
      </c>
      <c r="L38" s="48">
        <f t="shared" si="2"/>
        <v>0.059418478623302996</v>
      </c>
      <c r="M38" s="46">
        <f t="shared" si="3"/>
        <v>4.376527461478006</v>
      </c>
      <c r="N38" s="25">
        <v>65</v>
      </c>
      <c r="O38" s="59">
        <v>1.25</v>
      </c>
      <c r="P38" s="104">
        <v>0.02748</v>
      </c>
    </row>
    <row r="39" spans="1:16" ht="19.5" customHeight="1" thickBot="1">
      <c r="A39" s="80" t="s">
        <v>401</v>
      </c>
      <c r="B39" s="49">
        <v>250</v>
      </c>
      <c r="C39" s="49">
        <v>14</v>
      </c>
      <c r="D39" s="49">
        <v>3.2</v>
      </c>
      <c r="E39" s="49">
        <f t="shared" si="0"/>
        <v>44.800000000000004</v>
      </c>
      <c r="F39" s="49">
        <v>2.5</v>
      </c>
      <c r="G39" s="49">
        <v>9.3</v>
      </c>
      <c r="H39" s="49">
        <f t="shared" si="1"/>
        <v>130.20000000000002</v>
      </c>
      <c r="I39" s="49">
        <v>24</v>
      </c>
      <c r="J39" s="81">
        <f t="shared" si="4"/>
        <v>1.2445240939864595</v>
      </c>
      <c r="K39" s="51">
        <f t="shared" si="6"/>
        <v>0.005059040223018716</v>
      </c>
      <c r="L39" s="52">
        <f t="shared" si="2"/>
        <v>0.09243885617383894</v>
      </c>
      <c r="M39" s="50">
        <f t="shared" si="3"/>
        <v>2.647818596243443</v>
      </c>
      <c r="N39" s="49">
        <v>65</v>
      </c>
      <c r="O39" s="61">
        <v>0.76</v>
      </c>
      <c r="P39" s="104">
        <v>0.02748</v>
      </c>
    </row>
  </sheetData>
  <mergeCells count="1">
    <mergeCell ref="A1:J1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ljh</dc:creator>
  <cp:keywords/>
  <dc:description/>
  <cp:lastModifiedBy>贴心棉被</cp:lastModifiedBy>
  <cp:lastPrinted>2006-08-10T01:23:38Z</cp:lastPrinted>
  <dcterms:created xsi:type="dcterms:W3CDTF">2004-03-15T02:32:35Z</dcterms:created>
  <dcterms:modified xsi:type="dcterms:W3CDTF">2007-07-21T07:49:47Z</dcterms:modified>
  <cp:category/>
  <cp:version/>
  <cp:contentType/>
  <cp:contentStatus/>
</cp:coreProperties>
</file>